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5" windowWidth="9435" windowHeight="5985" tabRatio="582" activeTab="0"/>
  </bookViews>
  <sheets>
    <sheet name="ACTV" sheetId="1" r:id="rId1"/>
  </sheets>
  <definedNames>
    <definedName name="_xlnm.Print_Area" localSheetId="0">'ACTV'!$B$1:$Y$192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<sst xmlns="http://schemas.openxmlformats.org/spreadsheetml/2006/main" count="218" uniqueCount="95">
  <si>
    <t>Historical</t>
  </si>
  <si>
    <t>Projections</t>
  </si>
  <si>
    <t>Revenues</t>
  </si>
  <si>
    <t>Implied growth (yr/yr)</t>
  </si>
  <si>
    <t xml:space="preserve"> </t>
  </si>
  <si>
    <t>Gross profit</t>
  </si>
  <si>
    <t xml:space="preserve">     Less other operating expenses</t>
  </si>
  <si>
    <t xml:space="preserve">     Less taxes</t>
  </si>
  <si>
    <t>Net income</t>
  </si>
  <si>
    <t>Weighted average shares outstanding</t>
  </si>
  <si>
    <t>Earnings per share (EPS)</t>
  </si>
  <si>
    <t xml:space="preserve">     Pre-tax margin</t>
  </si>
  <si>
    <t xml:space="preserve">     Net margin</t>
  </si>
  <si>
    <t xml:space="preserve">     Tax rate</t>
  </si>
  <si>
    <t>Net Income</t>
  </si>
  <si>
    <t>Earnings Per Share</t>
  </si>
  <si>
    <t>Shares outstanding</t>
  </si>
  <si>
    <t xml:space="preserve">Terminal P/E Multiple Method </t>
  </si>
  <si>
    <t>Discount Rate</t>
  </si>
  <si>
    <t xml:space="preserve">Average of boxed area= </t>
  </si>
  <si>
    <t xml:space="preserve">Per share average of boxed area= </t>
  </si>
  <si>
    <t xml:space="preserve">Terminal Operating Income Multiple Method </t>
  </si>
  <si>
    <t>Fiscal year end December 31st</t>
  </si>
  <si>
    <t>(000 except per share amounts)</t>
  </si>
  <si>
    <t>Total Revenues</t>
  </si>
  <si>
    <t xml:space="preserve">          Terminal P/E multiple:</t>
  </si>
  <si>
    <t xml:space="preserve">          Terminal operating income multiple:</t>
  </si>
  <si>
    <t>Notes:</t>
  </si>
  <si>
    <t>Current</t>
  </si>
  <si>
    <t>Past</t>
  </si>
  <si>
    <t>Valuation Analysis</t>
  </si>
  <si>
    <t>ACTV, Inc.</t>
  </si>
  <si>
    <t>Summary Income Statement</t>
  </si>
  <si>
    <t>($ 000 except per share amounts)</t>
  </si>
  <si>
    <t xml:space="preserve">     Sales revenues</t>
  </si>
  <si>
    <t xml:space="preserve">     License and royalty fees from related parties</t>
  </si>
  <si>
    <t xml:space="preserve">     Cost of sales</t>
  </si>
  <si>
    <t xml:space="preserve">     Less operating expenses</t>
  </si>
  <si>
    <t xml:space="preserve">     Less selling and administrative expenses</t>
  </si>
  <si>
    <t xml:space="preserve">     Less amortization of goodwill</t>
  </si>
  <si>
    <t xml:space="preserve">     Less depreciation and amortization</t>
  </si>
  <si>
    <t>Operating income (EBITDA)</t>
  </si>
  <si>
    <t xml:space="preserve">     Less interest expense</t>
  </si>
  <si>
    <t>Pretax Income</t>
  </si>
  <si>
    <t>Preferred stock dividend</t>
  </si>
  <si>
    <t>($ 000s except per share amounts)</t>
  </si>
  <si>
    <t>ACTV Margins:</t>
  </si>
  <si>
    <t>Number of Fox Sports Plus subscribers (000s)</t>
  </si>
  <si>
    <t>Monthly subscription revenue per subscriber to ACTV ($)</t>
  </si>
  <si>
    <t>Annualized subscription revenue per subscriber to ACTV ($)</t>
  </si>
  <si>
    <t>ACTV Entertainment - Fox Sports SouthWest Model</t>
  </si>
  <si>
    <t>Penetration of digital cable boxes in Fox Sports SouthWest territory (%)</t>
  </si>
  <si>
    <t>Number of "addressable" digital cable boxes (000s)</t>
  </si>
  <si>
    <t>Total Revenues for Fox Sports SouthWest Individualized Programming ($ 000s)</t>
  </si>
  <si>
    <t>Total production and operating costs per region ($ 000s)</t>
  </si>
  <si>
    <t>Expenses, per region:</t>
  </si>
  <si>
    <t xml:space="preserve">    Distribution costs ($ 000s)</t>
  </si>
  <si>
    <t xml:space="preserve">    Marketing costs ($ 000s)</t>
  </si>
  <si>
    <t xml:space="preserve">    General and adminstrative (in region, in $ 000s)</t>
  </si>
  <si>
    <t>Operating Income for Fox Sports SouthWest Region ($ 000s)</t>
  </si>
  <si>
    <t>Fox Sports SouthWest (number of subscribers, 000s):  Note 1</t>
  </si>
  <si>
    <t>Penetration of Fox Sports Plus in "digital-ready" subscribers (%):  Note 2</t>
  </si>
  <si>
    <t>Additional advertising revenue per subscriber to ACTV ($):  Note 3</t>
  </si>
  <si>
    <t xml:space="preserve">    Production and license costs ($ 000s):  Note 4</t>
  </si>
  <si>
    <t>1.  Assumes 3% in-region growth in subscribers.</t>
  </si>
  <si>
    <t>2.  End of period (EOP) penetration level;  number of subscribers is average of beginning of period (BOP) and EOP levels</t>
  </si>
  <si>
    <t>3.  Advertising revenue estimated at 10% of subscriber revenue</t>
  </si>
  <si>
    <t xml:space="preserve">"By-Region" Operating Margin (%) </t>
  </si>
  <si>
    <t>NM</t>
  </si>
  <si>
    <t>ACTV Entertainment - Regional Roll-Out Model</t>
  </si>
  <si>
    <t>Total Revenues ($ 000s);  based on regional roll-out</t>
  </si>
  <si>
    <t>Operating Income ($ 000s);  based on regional roll-out</t>
  </si>
  <si>
    <t>"Regional Roll-Out" Operating Margin (%)</t>
  </si>
  <si>
    <t>Bridge Technology Group LLC</t>
  </si>
  <si>
    <t>Assumptions - ACTV Entertainment</t>
  </si>
  <si>
    <t>Total Revenues ($ 000s)</t>
  </si>
  <si>
    <t xml:space="preserve">ACTV, Inc. - Corporate </t>
  </si>
  <si>
    <t xml:space="preserve">Discounted Cash Flow  </t>
  </si>
  <si>
    <t>(EBITDA as proxy for cash flow)</t>
  </si>
  <si>
    <t>Operating Income (EBITDA)</t>
  </si>
  <si>
    <t>Gross Profit (blended, $ 000s)</t>
  </si>
  <si>
    <t>Operating Profit ($ 000s)</t>
  </si>
  <si>
    <t xml:space="preserve">    Gross margin on licensing fees and web hosting (%)</t>
  </si>
  <si>
    <t xml:space="preserve">    Gross Margin (blended, %)</t>
  </si>
  <si>
    <t xml:space="preserve">    Operating expenses as a percent of revenues (%)</t>
  </si>
  <si>
    <t>ACTV Corporate expense overhead ($ 000s)</t>
  </si>
  <si>
    <t xml:space="preserve">     Operating Income (EBITDA) margin</t>
  </si>
  <si>
    <t>(See assumption pages for calculation of operating income)</t>
  </si>
  <si>
    <t>Regional Roll-out (total number of new regions added; SouthWest network coming on mid-1999)</t>
  </si>
  <si>
    <t>4.  Production and license costs based on ACTV experience and agreements.</t>
  </si>
  <si>
    <t xml:space="preserve">Assumptions - ACTV Net </t>
  </si>
  <si>
    <t>ACTV Net - eSchool and HyperTV Internet Business</t>
  </si>
  <si>
    <t xml:space="preserve">    Revenues from Licensing Fees and Web Hosting (%)</t>
  </si>
  <si>
    <t xml:space="preserve">    Revenues from Content Creation (%)</t>
  </si>
  <si>
    <t xml:space="preserve">    Gross margin on content creation (%)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</si>
</sst>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#,##0.000_);[Red]\(#,##0.000\)"/>
    <numFmt numFmtId="167" formatCode="0.000%"/>
    <numFmt numFmtId="168" formatCode="#,##0.0000_);[Red]\(#,##0.0000\)"/>
    <numFmt numFmtId="169" formatCode="&quot;$&quot;#,##0.0_);[Red]\(&quot;$&quot;#,##0.0\)"/>
    <numFmt numFmtId="170" formatCode="&quot;$&quot;#,##0.000_);[Red]\(&quot;$&quot;#,##0.000\)"/>
    <numFmt numFmtId="171" formatCode="0.0"/>
    <numFmt numFmtId="172" formatCode="0.000"/>
    <numFmt numFmtId="173" formatCode="#,##0.0_);\(#,##0.0\)"/>
    <numFmt numFmtId="174" formatCode="0_);[Red]\(0\)"/>
    <numFmt numFmtId="175" formatCode="&quot;$&quot;#,##0.00"/>
    <numFmt numFmtId="176" formatCode="&quot;$&quot;#,##0.0"/>
    <numFmt numFmtId="177" formatCode="#,##0.0"/>
    <numFmt numFmtId="178" formatCode="&quot;$&quot;#,##0.0000_);[Red]\(&quot;$&quot;#,##0.0000\)"/>
    <numFmt numFmtId="179" formatCode="&quot;$&quot;#,##0.0_);\(&quot;$&quot;#,##0.0\)"/>
    <numFmt numFmtId="180" formatCode="&quot;$&quot;#,##0.000_);\(&quot;$&quot;#,##0.000\)"/>
    <numFmt numFmtId="181" formatCode="&quot;$&quot;#,##0.0000_);\(&quot;$&quot;#,##0.0000\)"/>
    <numFmt numFmtId="182" formatCode="&quot;$&quot;#,##0.00000_);\(&quot;$&quot;#,##0.00000\)"/>
    <numFmt numFmtId="183" formatCode="&quot;$&quot;#,##0.000000_);\(&quot;$&quot;#,##0.000000\)"/>
    <numFmt numFmtId="184" formatCode="&quot;$&quot;#,##0.0000000_);\(&quot;$&quot;#,##0.0000000\)"/>
    <numFmt numFmtId="185" formatCode="&quot;$&quot;#,##0.00000000_);\(&quot;$&quot;#,##0.00000000\)"/>
    <numFmt numFmtId="186" formatCode="&quot;$&quot;#,##0.000000000_);\(&quot;$&quot;#,##0.000000000\)"/>
    <numFmt numFmtId="187" formatCode="&quot;$&quot;#,##0.0000000000_);\(&quot;$&quot;#,##0.0000000000\)"/>
    <numFmt numFmtId="188" formatCode="[$$-1009]#,##0;[Red]\-[$$-1009]#,##0"/>
    <numFmt numFmtId="189" formatCode="[$C$-240A]#,##0;[Red][$C$-240A]#,##0"/>
    <numFmt numFmtId="190" formatCode="#,##0;[Red]#,##0"/>
    <numFmt numFmtId="191" formatCode="[$C$-240A]#,##0_);[Red]\([$C$-240A]#,##0\)"/>
    <numFmt numFmtId="192" formatCode="[$C$-240A]#,##0"/>
    <numFmt numFmtId="193" formatCode="[$C$-240A]#,##0.00_);[Red]\([$C$-240A]#,##0.00\)"/>
    <numFmt numFmtId="194" formatCode="&quot;$&quot;#,##0"/>
    <numFmt numFmtId="195" formatCode="#,##0.00000_);[Red]\(#,##0.000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62"/>
      <name val="CG Times (W1)"/>
      <family val="1"/>
    </font>
    <font>
      <sz val="8"/>
      <color indexed="62"/>
      <name val="CG Times (W1)"/>
      <family val="1"/>
    </font>
    <font>
      <sz val="6"/>
      <color indexed="62"/>
      <name val="CG Times (W1)"/>
      <family val="1"/>
    </font>
    <font>
      <sz val="10"/>
      <color indexed="62"/>
      <name val="CG Times (W1)"/>
      <family val="1"/>
    </font>
    <font>
      <b/>
      <sz val="9"/>
      <color indexed="62"/>
      <name val="CG Times (W1)"/>
      <family val="1"/>
    </font>
    <font>
      <b/>
      <sz val="8"/>
      <color indexed="62"/>
      <name val="CG Times (W1)"/>
      <family val="0"/>
    </font>
    <font>
      <b/>
      <sz val="10"/>
      <color indexed="62"/>
      <name val="CG Times (W1)"/>
      <family val="1"/>
    </font>
    <font>
      <b/>
      <sz val="14"/>
      <color indexed="62"/>
      <name val="CG Times (W1)"/>
      <family val="1"/>
    </font>
    <font>
      <sz val="14"/>
      <color indexed="62"/>
      <name val="CG Times (W1)"/>
      <family val="1"/>
    </font>
    <font>
      <b/>
      <sz val="14"/>
      <color indexed="62"/>
      <name val="Times New Roman"/>
      <family val="1"/>
    </font>
    <font>
      <sz val="10"/>
      <name val="CG Times"/>
      <family val="1"/>
    </font>
    <font>
      <sz val="7"/>
      <color indexed="62"/>
      <name val="CG Times (W1)"/>
      <family val="1"/>
    </font>
    <font>
      <b/>
      <i/>
      <sz val="10"/>
      <color indexed="62"/>
      <name val="CG Times (W1)"/>
      <family val="0"/>
    </font>
    <font>
      <sz val="9"/>
      <name val="CG Times"/>
      <family val="1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65" fontId="4" fillId="0" borderId="0" xfId="15" applyNumberFormat="1" applyFont="1" applyAlignment="1">
      <alignment/>
    </xf>
    <xf numFmtId="164" fontId="6" fillId="0" borderId="0" xfId="19" applyNumberFormat="1" applyFont="1" applyAlignment="1">
      <alignment/>
    </xf>
    <xf numFmtId="164" fontId="6" fillId="0" borderId="0" xfId="19" applyNumberFormat="1" applyFont="1" applyAlignment="1">
      <alignment horizontal="right"/>
    </xf>
    <xf numFmtId="38" fontId="5" fillId="0" borderId="0" xfId="15" applyNumberFormat="1" applyFont="1" applyAlignment="1">
      <alignment/>
    </xf>
    <xf numFmtId="0" fontId="7" fillId="0" borderId="0" xfId="0" applyFont="1" applyAlignment="1">
      <alignment/>
    </xf>
    <xf numFmtId="164" fontId="6" fillId="0" borderId="0" xfId="19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8" fontId="9" fillId="0" borderId="0" xfId="17" applyFont="1" applyAlignment="1">
      <alignment/>
    </xf>
    <xf numFmtId="165" fontId="10" fillId="0" borderId="0" xfId="15" applyNumberFormat="1" applyFont="1" applyAlignment="1">
      <alignment/>
    </xf>
    <xf numFmtId="1" fontId="10" fillId="0" borderId="0" xfId="15" applyNumberFormat="1" applyFont="1" applyAlignment="1">
      <alignment horizontal="left"/>
    </xf>
    <xf numFmtId="1" fontId="10" fillId="0" borderId="0" xfId="15" applyNumberFormat="1" applyFont="1" applyAlignment="1">
      <alignment horizontal="center"/>
    </xf>
    <xf numFmtId="1" fontId="10" fillId="0" borderId="1" xfId="15" applyNumberFormat="1" applyFont="1" applyBorder="1" applyAlignment="1">
      <alignment horizontal="center"/>
    </xf>
    <xf numFmtId="1" fontId="10" fillId="0" borderId="0" xfId="15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6" fontId="7" fillId="0" borderId="0" xfId="15" applyNumberFormat="1" applyFont="1" applyAlignment="1">
      <alignment horizontal="left"/>
    </xf>
    <xf numFmtId="38" fontId="7" fillId="0" borderId="0" xfId="15" applyNumberFormat="1" applyFont="1" applyAlignment="1">
      <alignment/>
    </xf>
    <xf numFmtId="164" fontId="7" fillId="0" borderId="0" xfId="19" applyNumberFormat="1" applyFont="1" applyAlignment="1">
      <alignment/>
    </xf>
    <xf numFmtId="165" fontId="7" fillId="0" borderId="0" xfId="15" applyNumberFormat="1" applyFont="1" applyAlignment="1">
      <alignment horizontal="left"/>
    </xf>
    <xf numFmtId="1" fontId="10" fillId="0" borderId="1" xfId="15" applyNumberFormat="1" applyFont="1" applyBorder="1" applyAlignment="1" quotePrefix="1">
      <alignment horizontal="center"/>
    </xf>
    <xf numFmtId="6" fontId="7" fillId="0" borderId="0" xfId="17" applyNumberFormat="1" applyFont="1" applyAlignment="1">
      <alignment/>
    </xf>
    <xf numFmtId="38" fontId="7" fillId="0" borderId="0" xfId="15" applyNumberFormat="1" applyFont="1" applyBorder="1" applyAlignment="1">
      <alignment/>
    </xf>
    <xf numFmtId="38" fontId="7" fillId="0" borderId="0" xfId="17" applyNumberFormat="1" applyFont="1" applyAlignment="1">
      <alignment/>
    </xf>
    <xf numFmtId="38" fontId="10" fillId="0" borderId="0" xfId="15" applyNumberFormat="1" applyFont="1" applyAlignment="1">
      <alignment/>
    </xf>
    <xf numFmtId="38" fontId="7" fillId="0" borderId="0" xfId="15" applyNumberFormat="1" applyFont="1" applyAlignment="1">
      <alignment horizontal="left"/>
    </xf>
    <xf numFmtId="38" fontId="10" fillId="0" borderId="0" xfId="15" applyNumberFormat="1" applyFont="1" applyAlignment="1">
      <alignment horizontal="left"/>
    </xf>
    <xf numFmtId="38" fontId="7" fillId="0" borderId="0" xfId="15" applyNumberFormat="1" applyFont="1" applyAlignment="1">
      <alignment horizontal="left"/>
    </xf>
    <xf numFmtId="165" fontId="11" fillId="0" borderId="1" xfId="15" applyNumberFormat="1" applyFont="1" applyBorder="1" applyAlignment="1">
      <alignment horizontal="left"/>
    </xf>
    <xf numFmtId="165" fontId="11" fillId="0" borderId="1" xfId="15" applyNumberFormat="1" applyFont="1" applyBorder="1" applyAlignment="1">
      <alignment/>
    </xf>
    <xf numFmtId="165" fontId="11" fillId="0" borderId="1" xfId="15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165" fontId="13" fillId="0" borderId="1" xfId="15" applyNumberFormat="1" applyFont="1" applyBorder="1" applyAlignment="1">
      <alignment horizontal="right"/>
    </xf>
    <xf numFmtId="165" fontId="11" fillId="0" borderId="0" xfId="15" applyNumberFormat="1" applyFont="1" applyAlignment="1">
      <alignment/>
    </xf>
    <xf numFmtId="38" fontId="7" fillId="0" borderId="0" xfId="17" applyNumberFormat="1" applyFont="1" applyBorder="1" applyAlignment="1">
      <alignment/>
    </xf>
    <xf numFmtId="0" fontId="0" fillId="0" borderId="1" xfId="0" applyBorder="1" applyAlignment="1">
      <alignment/>
    </xf>
    <xf numFmtId="38" fontId="7" fillId="0" borderId="0" xfId="15" applyNumberFormat="1" applyFont="1" applyAlignment="1">
      <alignment/>
    </xf>
    <xf numFmtId="164" fontId="7" fillId="0" borderId="0" xfId="19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/>
    </xf>
    <xf numFmtId="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2" fontId="10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8" fontId="7" fillId="0" borderId="0" xfId="0" applyNumberFormat="1" applyFont="1" applyAlignment="1">
      <alignment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8" fontId="7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0" fontId="14" fillId="0" borderId="0" xfId="0" applyFont="1" applyAlignment="1">
      <alignment/>
    </xf>
    <xf numFmtId="6" fontId="7" fillId="0" borderId="4" xfId="17" applyNumberFormat="1" applyFont="1" applyBorder="1" applyAlignment="1">
      <alignment/>
    </xf>
    <xf numFmtId="38" fontId="7" fillId="0" borderId="0" xfId="17" applyNumberFormat="1" applyFont="1" applyBorder="1" applyAlignment="1">
      <alignment/>
    </xf>
    <xf numFmtId="0" fontId="10" fillId="0" borderId="0" xfId="0" applyFont="1" applyAlignment="1">
      <alignment/>
    </xf>
    <xf numFmtId="6" fontId="7" fillId="0" borderId="0" xfId="17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165" fontId="10" fillId="0" borderId="0" xfId="15" applyNumberFormat="1" applyFont="1" applyBorder="1" applyAlignment="1">
      <alignment horizontal="centerContinuous"/>
    </xf>
    <xf numFmtId="38" fontId="10" fillId="0" borderId="0" xfId="15" applyNumberFormat="1" applyFont="1" applyAlignment="1">
      <alignment/>
    </xf>
    <xf numFmtId="40" fontId="7" fillId="0" borderId="0" xfId="15" applyNumberFormat="1" applyFont="1" applyAlignment="1">
      <alignment/>
    </xf>
    <xf numFmtId="165" fontId="10" fillId="0" borderId="1" xfId="15" applyNumberFormat="1" applyFont="1" applyBorder="1" applyAlignment="1">
      <alignment horizontal="centerContinuous"/>
    </xf>
    <xf numFmtId="40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164" fontId="10" fillId="0" borderId="1" xfId="19" applyNumberFormat="1" applyFont="1" applyBorder="1" applyAlignment="1">
      <alignment/>
    </xf>
    <xf numFmtId="164" fontId="7" fillId="0" borderId="1" xfId="19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75" fontId="7" fillId="0" borderId="0" xfId="19" applyNumberFormat="1" applyFont="1" applyBorder="1" applyAlignment="1">
      <alignment/>
    </xf>
    <xf numFmtId="171" fontId="7" fillId="0" borderId="0" xfId="19" applyNumberFormat="1" applyFont="1" applyBorder="1" applyAlignment="1">
      <alignment/>
    </xf>
    <xf numFmtId="171" fontId="7" fillId="0" borderId="0" xfId="19" applyNumberFormat="1" applyFont="1" applyBorder="1" applyAlignment="1">
      <alignment horizontal="right"/>
    </xf>
    <xf numFmtId="164" fontId="15" fillId="0" borderId="0" xfId="19" applyNumberFormat="1" applyFont="1" applyAlignment="1">
      <alignment horizontal="centerContinuous"/>
    </xf>
    <xf numFmtId="164" fontId="7" fillId="0" borderId="0" xfId="19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8" fontId="7" fillId="0" borderId="5" xfId="17" applyNumberFormat="1" applyFont="1" applyBorder="1" applyAlignment="1">
      <alignment/>
    </xf>
    <xf numFmtId="8" fontId="7" fillId="0" borderId="4" xfId="0" applyNumberFormat="1" applyFont="1" applyBorder="1" applyAlignment="1">
      <alignment/>
    </xf>
    <xf numFmtId="38" fontId="7" fillId="0" borderId="4" xfId="17" applyNumberFormat="1" applyFont="1" applyBorder="1" applyAlignment="1">
      <alignment/>
    </xf>
    <xf numFmtId="38" fontId="7" fillId="0" borderId="6" xfId="17" applyNumberFormat="1" applyFont="1" applyBorder="1" applyAlignment="1">
      <alignment/>
    </xf>
    <xf numFmtId="38" fontId="7" fillId="0" borderId="3" xfId="17" applyNumberFormat="1" applyFont="1" applyBorder="1" applyAlignment="1">
      <alignment/>
    </xf>
    <xf numFmtId="38" fontId="7" fillId="0" borderId="7" xfId="17" applyNumberFormat="1" applyFont="1" applyBorder="1" applyAlignment="1">
      <alignment/>
    </xf>
    <xf numFmtId="38" fontId="7" fillId="0" borderId="2" xfId="17" applyNumberFormat="1" applyFont="1" applyBorder="1" applyAlignment="1">
      <alignment/>
    </xf>
    <xf numFmtId="8" fontId="7" fillId="0" borderId="1" xfId="0" applyNumberFormat="1" applyFont="1" applyBorder="1" applyAlignment="1">
      <alignment/>
    </xf>
    <xf numFmtId="38" fontId="7" fillId="0" borderId="1" xfId="17" applyNumberFormat="1" applyFont="1" applyBorder="1" applyAlignment="1">
      <alignment/>
    </xf>
    <xf numFmtId="38" fontId="7" fillId="0" borderId="8" xfId="17" applyNumberFormat="1" applyFont="1" applyBorder="1" applyAlignment="1">
      <alignment/>
    </xf>
    <xf numFmtId="38" fontId="7" fillId="0" borderId="0" xfId="15" applyNumberFormat="1" applyFont="1" applyAlignment="1">
      <alignment/>
    </xf>
    <xf numFmtId="38" fontId="10" fillId="0" borderId="0" xfId="15" applyNumberFormat="1" applyFont="1" applyAlignment="1">
      <alignment/>
    </xf>
    <xf numFmtId="164" fontId="10" fillId="0" borderId="0" xfId="19" applyNumberFormat="1" applyFont="1" applyBorder="1" applyAlignment="1">
      <alignment horizontal="centerContinuous"/>
    </xf>
    <xf numFmtId="164" fontId="7" fillId="0" borderId="0" xfId="19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190" fontId="7" fillId="0" borderId="0" xfId="17" applyNumberFormat="1" applyFont="1" applyBorder="1" applyAlignment="1">
      <alignment/>
    </xf>
    <xf numFmtId="190" fontId="4" fillId="0" borderId="0" xfId="15" applyNumberFormat="1" applyFont="1" applyAlignment="1">
      <alignment/>
    </xf>
    <xf numFmtId="190" fontId="7" fillId="0" borderId="0" xfId="15" applyNumberFormat="1" applyFont="1" applyAlignment="1">
      <alignment/>
    </xf>
    <xf numFmtId="190" fontId="7" fillId="0" borderId="1" xfId="17" applyNumberFormat="1" applyFont="1" applyBorder="1" applyAlignment="1">
      <alignment/>
    </xf>
    <xf numFmtId="190" fontId="7" fillId="0" borderId="0" xfId="17" applyNumberFormat="1" applyFont="1" applyAlignment="1">
      <alignment/>
    </xf>
    <xf numFmtId="38" fontId="10" fillId="0" borderId="0" xfId="15" applyNumberFormat="1" applyFont="1" applyBorder="1" applyAlignment="1">
      <alignment/>
    </xf>
    <xf numFmtId="38" fontId="7" fillId="0" borderId="0" xfId="15" applyNumberFormat="1" applyFont="1" applyBorder="1" applyAlignment="1">
      <alignment/>
    </xf>
    <xf numFmtId="194" fontId="7" fillId="0" borderId="0" xfId="17" applyNumberFormat="1" applyFont="1" applyBorder="1" applyAlignment="1">
      <alignment/>
    </xf>
    <xf numFmtId="194" fontId="4" fillId="0" borderId="0" xfId="15" applyNumberFormat="1" applyFont="1" applyAlignment="1">
      <alignment/>
    </xf>
    <xf numFmtId="194" fontId="7" fillId="0" borderId="0" xfId="15" applyNumberFormat="1" applyFont="1" applyAlignment="1">
      <alignment/>
    </xf>
    <xf numFmtId="190" fontId="7" fillId="0" borderId="1" xfId="15" applyNumberFormat="1" applyFont="1" applyBorder="1" applyAlignment="1">
      <alignment/>
    </xf>
    <xf numFmtId="174" fontId="7" fillId="0" borderId="0" xfId="15" applyNumberFormat="1" applyFont="1" applyAlignment="1">
      <alignment/>
    </xf>
    <xf numFmtId="174" fontId="7" fillId="0" borderId="1" xfId="15" applyNumberFormat="1" applyFont="1" applyBorder="1" applyAlignment="1">
      <alignment/>
    </xf>
    <xf numFmtId="8" fontId="10" fillId="0" borderId="9" xfId="17" applyNumberFormat="1" applyFont="1" applyBorder="1" applyAlignment="1">
      <alignment/>
    </xf>
    <xf numFmtId="165" fontId="10" fillId="0" borderId="1" xfId="15" applyNumberFormat="1" applyFont="1" applyBorder="1" applyAlignment="1">
      <alignment horizontal="center"/>
    </xf>
    <xf numFmtId="6" fontId="7" fillId="0" borderId="0" xfId="17" applyNumberFormat="1" applyFont="1" applyAlignment="1">
      <alignment/>
    </xf>
    <xf numFmtId="6" fontId="7" fillId="0" borderId="0" xfId="15" applyNumberFormat="1" applyFont="1" applyAlignment="1">
      <alignment/>
    </xf>
    <xf numFmtId="164" fontId="7" fillId="0" borderId="0" xfId="19" applyNumberFormat="1" applyFont="1" applyBorder="1" applyAlignment="1">
      <alignment/>
    </xf>
    <xf numFmtId="40" fontId="7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8" fontId="7" fillId="0" borderId="0" xfId="17" applyFont="1" applyBorder="1" applyAlignment="1">
      <alignment/>
    </xf>
    <xf numFmtId="6" fontId="7" fillId="0" borderId="0" xfId="17" applyNumberFormat="1" applyFont="1" applyBorder="1" applyAlignment="1">
      <alignment/>
    </xf>
    <xf numFmtId="6" fontId="7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6" fontId="7" fillId="0" borderId="0" xfId="19" applyNumberFormat="1" applyFont="1" applyBorder="1" applyAlignment="1">
      <alignment/>
    </xf>
    <xf numFmtId="10" fontId="7" fillId="0" borderId="0" xfId="19" applyNumberFormat="1" applyFont="1" applyBorder="1" applyAlignment="1">
      <alignment/>
    </xf>
    <xf numFmtId="10" fontId="7" fillId="0" borderId="0" xfId="19" applyNumberFormat="1" applyFont="1" applyBorder="1" applyAlignment="1">
      <alignment horizontal="right"/>
    </xf>
    <xf numFmtId="164" fontId="4" fillId="0" borderId="0" xfId="19" applyNumberFormat="1" applyFont="1" applyAlignment="1">
      <alignment/>
    </xf>
    <xf numFmtId="164" fontId="4" fillId="0" borderId="0" xfId="19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6" fontId="4" fillId="0" borderId="0" xfId="17" applyNumberFormat="1" applyFont="1" applyBorder="1" applyAlignment="1">
      <alignment/>
    </xf>
    <xf numFmtId="6" fontId="4" fillId="0" borderId="0" xfId="19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4" fontId="6" fillId="0" borderId="0" xfId="19" applyNumberFormat="1" applyFont="1" applyBorder="1" applyAlignment="1">
      <alignment horizontal="right"/>
    </xf>
    <xf numFmtId="164" fontId="10" fillId="0" borderId="0" xfId="19" applyNumberFormat="1" applyFont="1" applyBorder="1" applyAlignment="1">
      <alignment horizontal="left"/>
    </xf>
    <xf numFmtId="164" fontId="7" fillId="0" borderId="0" xfId="19" applyNumberFormat="1" applyFont="1" applyBorder="1" applyAlignment="1">
      <alignment horizontal="left"/>
    </xf>
    <xf numFmtId="164" fontId="4" fillId="0" borderId="0" xfId="19" applyNumberFormat="1" applyFont="1" applyBorder="1" applyAlignment="1">
      <alignment horizontal="left"/>
    </xf>
    <xf numFmtId="40" fontId="4" fillId="0" borderId="0" xfId="15" applyFont="1" applyBorder="1" applyAlignment="1">
      <alignment horizontal="left"/>
    </xf>
    <xf numFmtId="164" fontId="7" fillId="0" borderId="0" xfId="19" applyNumberFormat="1" applyFont="1" applyBorder="1" applyAlignment="1">
      <alignment horizontal="left"/>
    </xf>
    <xf numFmtId="40" fontId="7" fillId="0" borderId="0" xfId="15" applyNumberFormat="1" applyFont="1" applyBorder="1" applyAlignment="1">
      <alignment/>
    </xf>
    <xf numFmtId="40" fontId="7" fillId="0" borderId="0" xfId="19" applyNumberFormat="1" applyFont="1" applyBorder="1" applyAlignment="1">
      <alignment/>
    </xf>
    <xf numFmtId="164" fontId="8" fillId="0" borderId="1" xfId="19" applyNumberFormat="1" applyFont="1" applyBorder="1" applyAlignment="1">
      <alignment horizontal="left"/>
    </xf>
    <xf numFmtId="164" fontId="4" fillId="0" borderId="1" xfId="19" applyNumberFormat="1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9" fontId="7" fillId="0" borderId="0" xfId="19" applyFont="1" applyAlignment="1">
      <alignment/>
    </xf>
    <xf numFmtId="38" fontId="9" fillId="0" borderId="0" xfId="15" applyNumberFormat="1" applyFont="1" applyAlignment="1">
      <alignment/>
    </xf>
    <xf numFmtId="6" fontId="10" fillId="0" borderId="0" xfId="15" applyNumberFormat="1" applyFont="1" applyAlignment="1">
      <alignment/>
    </xf>
    <xf numFmtId="164" fontId="7" fillId="0" borderId="0" xfId="19" applyNumberFormat="1" applyFont="1" applyAlignment="1">
      <alignment/>
    </xf>
    <xf numFmtId="38" fontId="7" fillId="0" borderId="0" xfId="17" applyNumberFormat="1" applyFont="1" applyAlignment="1">
      <alignment/>
    </xf>
    <xf numFmtId="38" fontId="7" fillId="0" borderId="5" xfId="17" applyNumberFormat="1" applyFont="1" applyBorder="1" applyAlignment="1">
      <alignment/>
    </xf>
    <xf numFmtId="38" fontId="7" fillId="0" borderId="4" xfId="17" applyNumberFormat="1" applyFont="1" applyBorder="1" applyAlignment="1">
      <alignment/>
    </xf>
    <xf numFmtId="38" fontId="7" fillId="0" borderId="6" xfId="17" applyNumberFormat="1" applyFont="1" applyBorder="1" applyAlignment="1">
      <alignment/>
    </xf>
    <xf numFmtId="38" fontId="7" fillId="0" borderId="3" xfId="17" applyNumberFormat="1" applyFont="1" applyBorder="1" applyAlignment="1">
      <alignment/>
    </xf>
    <xf numFmtId="38" fontId="7" fillId="0" borderId="0" xfId="17" applyNumberFormat="1" applyFont="1" applyBorder="1" applyAlignment="1">
      <alignment/>
    </xf>
    <xf numFmtId="38" fontId="7" fillId="0" borderId="7" xfId="17" applyNumberFormat="1" applyFont="1" applyBorder="1" applyAlignment="1">
      <alignment/>
    </xf>
    <xf numFmtId="38" fontId="7" fillId="0" borderId="2" xfId="17" applyNumberFormat="1" applyFont="1" applyBorder="1" applyAlignment="1">
      <alignment/>
    </xf>
    <xf numFmtId="38" fontId="7" fillId="0" borderId="1" xfId="17" applyNumberFormat="1" applyFont="1" applyBorder="1" applyAlignment="1">
      <alignment/>
    </xf>
    <xf numFmtId="38" fontId="7" fillId="0" borderId="8" xfId="17" applyNumberFormat="1" applyFont="1" applyBorder="1" applyAlignment="1">
      <alignment/>
    </xf>
    <xf numFmtId="8" fontId="7" fillId="0" borderId="0" xfId="0" applyNumberFormat="1" applyFont="1" applyAlignment="1">
      <alignment/>
    </xf>
    <xf numFmtId="8" fontId="7" fillId="0" borderId="4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8" fontId="7" fillId="0" borderId="1" xfId="0" applyNumberFormat="1" applyFont="1" applyBorder="1" applyAlignment="1">
      <alignment/>
    </xf>
    <xf numFmtId="190" fontId="7" fillId="0" borderId="0" xfId="15" applyNumberFormat="1" applyFont="1" applyBorder="1" applyAlignment="1">
      <alignment/>
    </xf>
    <xf numFmtId="38" fontId="16" fillId="0" borderId="1" xfId="15" applyNumberFormat="1" applyFont="1" applyBorder="1" applyAlignment="1">
      <alignment horizontal="center"/>
    </xf>
    <xf numFmtId="190" fontId="16" fillId="0" borderId="0" xfId="17" applyNumberFormat="1" applyFont="1" applyAlignment="1">
      <alignment horizontal="center"/>
    </xf>
    <xf numFmtId="165" fontId="10" fillId="0" borderId="1" xfId="15" applyNumberFormat="1" applyFont="1" applyBorder="1" applyAlignment="1">
      <alignment horizontal="center"/>
    </xf>
    <xf numFmtId="165" fontId="10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1"/>
  <sheetViews>
    <sheetView tabSelected="1" workbookViewId="0" topLeftCell="A1">
      <selection activeCell="Q85" sqref="Q85"/>
    </sheetView>
  </sheetViews>
  <sheetFormatPr defaultColWidth="9.140625" defaultRowHeight="12.75"/>
  <cols>
    <col min="1" max="1" width="1.7109375" style="7" customWidth="1"/>
    <col min="2" max="2" width="20.7109375" style="7" customWidth="1"/>
    <col min="3" max="3" width="7.57421875" style="7" customWidth="1"/>
    <col min="4" max="4" width="8.28125" style="7" customWidth="1"/>
    <col min="5" max="5" width="5.7109375" style="7" customWidth="1"/>
    <col min="6" max="6" width="8.7109375" style="7" customWidth="1"/>
    <col min="7" max="7" width="1.421875" style="7" customWidth="1"/>
    <col min="8" max="8" width="8.28125" style="7" customWidth="1"/>
    <col min="9" max="9" width="1.421875" style="7" customWidth="1"/>
    <col min="10" max="10" width="8.28125" style="7" customWidth="1"/>
    <col min="11" max="11" width="2.7109375" style="7" customWidth="1"/>
    <col min="12" max="12" width="9.7109375" style="7" customWidth="1"/>
    <col min="13" max="13" width="2.57421875" style="7" customWidth="1"/>
    <col min="14" max="14" width="9.7109375" style="7" customWidth="1"/>
    <col min="15" max="15" width="1.421875" style="7" customWidth="1"/>
    <col min="16" max="16" width="9.7109375" style="7" customWidth="1"/>
    <col min="17" max="17" width="1.421875" style="7" customWidth="1"/>
    <col min="18" max="18" width="9.7109375" style="7" customWidth="1"/>
    <col min="19" max="19" width="1.421875" style="7" customWidth="1"/>
    <col min="20" max="20" width="9.7109375" style="7" customWidth="1"/>
    <col min="21" max="21" width="1.421875" style="7" customWidth="1"/>
    <col min="22" max="22" width="9.7109375" style="7" customWidth="1"/>
    <col min="23" max="24" width="0.85546875" style="7" customWidth="1"/>
    <col min="25" max="25" width="6.28125" style="7" customWidth="1"/>
    <col min="26" max="16384" width="9.140625" style="7" customWidth="1"/>
  </cols>
  <sheetData>
    <row r="1" spans="1:25" s="35" customFormat="1" ht="18.75">
      <c r="A1" s="30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31"/>
      <c r="V1" s="32"/>
      <c r="W1" s="31"/>
      <c r="X1" s="33"/>
      <c r="Y1" s="34" t="s">
        <v>73</v>
      </c>
    </row>
    <row r="2" s="17" customFormat="1" ht="12.75">
      <c r="B2" s="21" t="s">
        <v>74</v>
      </c>
    </row>
    <row r="3" s="17" customFormat="1" ht="12.75">
      <c r="B3" s="17" t="s">
        <v>23</v>
      </c>
    </row>
    <row r="4" s="17" customFormat="1" ht="12.75"/>
    <row r="5" s="17" customFormat="1" ht="12.75"/>
    <row r="6" spans="4:25" s="12" customFormat="1" ht="12.75">
      <c r="D6" s="68"/>
      <c r="E6" s="68"/>
      <c r="F6" s="168" t="s">
        <v>0</v>
      </c>
      <c r="G6" s="168"/>
      <c r="H6" s="168"/>
      <c r="I6" s="168"/>
      <c r="J6" s="168"/>
      <c r="K6" s="68"/>
      <c r="L6" s="114" t="s">
        <v>28</v>
      </c>
      <c r="M6" s="17"/>
      <c r="N6" s="169" t="s">
        <v>1</v>
      </c>
      <c r="O6" s="169"/>
      <c r="P6" s="169"/>
      <c r="Q6" s="169"/>
      <c r="R6" s="169"/>
      <c r="S6" s="169"/>
      <c r="T6" s="169"/>
      <c r="U6" s="169"/>
      <c r="V6" s="169"/>
      <c r="W6" s="68"/>
      <c r="X6" s="68"/>
      <c r="Y6" s="68"/>
    </row>
    <row r="7" spans="2:25" s="14" customFormat="1" ht="12.75" customHeight="1">
      <c r="B7" s="13" t="s">
        <v>22</v>
      </c>
      <c r="D7" s="16"/>
      <c r="F7" s="15">
        <v>1995</v>
      </c>
      <c r="H7" s="22">
        <v>1996</v>
      </c>
      <c r="J7" s="22">
        <v>1997</v>
      </c>
      <c r="L7" s="22">
        <v>1998</v>
      </c>
      <c r="N7" s="15">
        <f>L7+1</f>
        <v>1999</v>
      </c>
      <c r="P7" s="15">
        <f>N7+1</f>
        <v>2000</v>
      </c>
      <c r="R7" s="15">
        <f>P7+1</f>
        <v>2001</v>
      </c>
      <c r="T7" s="15">
        <f>R7+1</f>
        <v>2002</v>
      </c>
      <c r="V7" s="15">
        <v>2003</v>
      </c>
      <c r="W7" s="16"/>
      <c r="X7" s="16"/>
      <c r="Y7" s="16"/>
    </row>
    <row r="8" s="1" customFormat="1" ht="16.5" customHeight="1"/>
    <row r="9" spans="2:23" s="1" customFormat="1" ht="7.5" customHeigh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</row>
    <row r="10" spans="2:28" s="4" customFormat="1" ht="12.75" customHeight="1">
      <c r="B10" s="166" t="s">
        <v>50</v>
      </c>
      <c r="C10" s="166"/>
      <c r="D10" s="166"/>
      <c r="E10" s="166"/>
      <c r="F10" s="16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94"/>
      <c r="Y10" s="94"/>
      <c r="Z10" s="94"/>
      <c r="AA10" s="94"/>
      <c r="AB10" s="94"/>
    </row>
    <row r="11" spans="2:28" s="4" customFormat="1" ht="6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94"/>
      <c r="Y11" s="94"/>
      <c r="Z11" s="94"/>
      <c r="AA11" s="94"/>
      <c r="AB11" s="94"/>
    </row>
    <row r="12" spans="2:28" s="4" customFormat="1" ht="12.75" customHeight="1">
      <c r="B12" s="106" t="s">
        <v>60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>
        <v>5400</v>
      </c>
      <c r="M12" s="106"/>
      <c r="N12" s="106">
        <f>L12*1.03</f>
        <v>5562</v>
      </c>
      <c r="O12" s="106"/>
      <c r="P12" s="106">
        <f>N12*1.03</f>
        <v>5728.860000000001</v>
      </c>
      <c r="Q12" s="106"/>
      <c r="R12" s="106">
        <f>P12*1.03</f>
        <v>5900.725800000001</v>
      </c>
      <c r="S12" s="106"/>
      <c r="T12" s="106">
        <f>R12*1.03</f>
        <v>6077.747574000001</v>
      </c>
      <c r="U12" s="106"/>
      <c r="V12" s="106">
        <f>T12*1.03</f>
        <v>6260.080001220001</v>
      </c>
      <c r="W12" s="106"/>
      <c r="X12" s="94"/>
      <c r="Y12" s="94"/>
      <c r="Z12" s="94"/>
      <c r="AA12" s="94"/>
      <c r="AB12" s="94"/>
    </row>
    <row r="13" spans="2:28" s="4" customFormat="1" ht="12.75" customHeight="1">
      <c r="B13" s="106" t="s">
        <v>51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17">
        <v>0.04</v>
      </c>
      <c r="M13" s="106"/>
      <c r="N13" s="117">
        <v>0.15</v>
      </c>
      <c r="O13" s="106"/>
      <c r="P13" s="117">
        <v>0.3</v>
      </c>
      <c r="Q13" s="106"/>
      <c r="R13" s="117">
        <v>0.6</v>
      </c>
      <c r="S13" s="106"/>
      <c r="T13" s="117">
        <v>0.75</v>
      </c>
      <c r="U13" s="106"/>
      <c r="V13" s="117">
        <v>0.8</v>
      </c>
      <c r="W13" s="106"/>
      <c r="X13" s="94"/>
      <c r="Y13" s="94"/>
      <c r="Z13" s="94"/>
      <c r="AA13" s="94"/>
      <c r="AB13" s="94"/>
    </row>
    <row r="14" spans="2:28" s="4" customFormat="1" ht="12.75" customHeight="1">
      <c r="B14" s="106" t="s">
        <v>52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>
        <f>L12*L13</f>
        <v>216</v>
      </c>
      <c r="M14" s="106"/>
      <c r="N14" s="106">
        <f>N12*N13</f>
        <v>834.3</v>
      </c>
      <c r="O14" s="106"/>
      <c r="P14" s="106">
        <f>P12*P13</f>
        <v>1718.6580000000001</v>
      </c>
      <c r="Q14" s="106"/>
      <c r="R14" s="106">
        <f>R12*R13</f>
        <v>3540.4354800000006</v>
      </c>
      <c r="S14" s="106"/>
      <c r="T14" s="106">
        <f>T12*T13</f>
        <v>4558.310680500001</v>
      </c>
      <c r="U14" s="106"/>
      <c r="V14" s="106">
        <f>V12*V13</f>
        <v>5008.064000976001</v>
      </c>
      <c r="W14" s="106"/>
      <c r="X14" s="94"/>
      <c r="Y14" s="94"/>
      <c r="Z14" s="94"/>
      <c r="AA14" s="94"/>
      <c r="AB14" s="94"/>
    </row>
    <row r="15" spans="2:28" s="4" customFormat="1" ht="12.75" customHeight="1">
      <c r="B15" s="106" t="s">
        <v>61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17">
        <v>0</v>
      </c>
      <c r="M15" s="106"/>
      <c r="N15" s="117">
        <v>0.075</v>
      </c>
      <c r="O15" s="106"/>
      <c r="P15" s="117">
        <v>0.125</v>
      </c>
      <c r="Q15" s="106"/>
      <c r="R15" s="117">
        <v>0.2</v>
      </c>
      <c r="S15" s="106"/>
      <c r="T15" s="117">
        <v>0.25</v>
      </c>
      <c r="U15" s="106"/>
      <c r="V15" s="117">
        <v>0.25</v>
      </c>
      <c r="W15" s="106"/>
      <c r="X15" s="94"/>
      <c r="Y15" s="94"/>
      <c r="Z15" s="94"/>
      <c r="AA15" s="94"/>
      <c r="AB15" s="94"/>
    </row>
    <row r="16" spans="2:28" s="4" customFormat="1" ht="12.75" customHeight="1">
      <c r="B16" s="106" t="s">
        <v>47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18">
        <f>L14*L15</f>
        <v>0</v>
      </c>
      <c r="M16" s="118"/>
      <c r="N16" s="118">
        <f>N14*(0.5*(N15+L15))</f>
        <v>31.286249999999995</v>
      </c>
      <c r="O16" s="118"/>
      <c r="P16" s="118">
        <f>P14*(0.5*(P15+N15))</f>
        <v>171.86580000000004</v>
      </c>
      <c r="Q16" s="118"/>
      <c r="R16" s="118">
        <f>R14*(0.5*(R15+P15))</f>
        <v>575.3207655000001</v>
      </c>
      <c r="S16" s="118"/>
      <c r="T16" s="118">
        <f>T14*(0.5*(T15+R15))</f>
        <v>1025.6199031125002</v>
      </c>
      <c r="U16" s="118"/>
      <c r="V16" s="118">
        <f>V14*(0.5*(V15+T15))</f>
        <v>1252.0160002440002</v>
      </c>
      <c r="W16" s="118"/>
      <c r="X16" s="94"/>
      <c r="Y16" s="94"/>
      <c r="Z16" s="94"/>
      <c r="AA16" s="94"/>
      <c r="AB16" s="94"/>
    </row>
    <row r="17" spans="1:23" s="2" customFormat="1" ht="8.25" customHeight="1">
      <c r="A17" s="2" t="s">
        <v>4</v>
      </c>
      <c r="B17" s="135" t="s">
        <v>3</v>
      </c>
      <c r="C17" s="6"/>
      <c r="D17" s="119"/>
      <c r="E17" s="120"/>
      <c r="F17" s="6" t="s">
        <v>4</v>
      </c>
      <c r="G17" s="6"/>
      <c r="H17" s="6" t="s">
        <v>4</v>
      </c>
      <c r="I17" s="6"/>
      <c r="J17" s="6" t="s">
        <v>4</v>
      </c>
      <c r="K17" s="6"/>
      <c r="L17" s="6" t="s">
        <v>4</v>
      </c>
      <c r="M17" s="6"/>
      <c r="N17" s="6" t="s">
        <v>4</v>
      </c>
      <c r="O17" s="6"/>
      <c r="P17" s="6">
        <f>(P16-N16)/N16</f>
        <v>4.493333333333335</v>
      </c>
      <c r="Q17" s="6"/>
      <c r="R17" s="6">
        <f>(R16-P16)/P16</f>
        <v>2.3475</v>
      </c>
      <c r="S17" s="6"/>
      <c r="T17" s="6">
        <f>(T16-R16)/R16</f>
        <v>0.7826923076923077</v>
      </c>
      <c r="U17" s="6"/>
      <c r="V17" s="6">
        <f>(V16-T16)/T16</f>
        <v>0.22074074074074074</v>
      </c>
      <c r="W17" s="6"/>
    </row>
    <row r="18" spans="2:28" s="4" customFormat="1" ht="12.75" customHeight="1">
      <c r="B18" s="106" t="s">
        <v>48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21">
        <v>4.95</v>
      </c>
      <c r="M18" s="106"/>
      <c r="N18" s="121">
        <v>4.95</v>
      </c>
      <c r="O18" s="106"/>
      <c r="P18" s="121">
        <v>4.95</v>
      </c>
      <c r="Q18" s="106"/>
      <c r="R18" s="121">
        <v>4.95</v>
      </c>
      <c r="S18" s="106"/>
      <c r="T18" s="121">
        <v>4.95</v>
      </c>
      <c r="U18" s="106"/>
      <c r="V18" s="121">
        <v>4.95</v>
      </c>
      <c r="W18" s="106"/>
      <c r="X18" s="94"/>
      <c r="Y18" s="94"/>
      <c r="Z18" s="94"/>
      <c r="AA18" s="94"/>
      <c r="AB18" s="94"/>
    </row>
    <row r="19" spans="2:28" s="4" customFormat="1" ht="12.75" customHeight="1">
      <c r="B19" s="106" t="s">
        <v>49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21">
        <f>12*L18</f>
        <v>59.400000000000006</v>
      </c>
      <c r="M19" s="106"/>
      <c r="N19" s="121">
        <f>12*N18</f>
        <v>59.400000000000006</v>
      </c>
      <c r="O19" s="106"/>
      <c r="P19" s="121">
        <f>12*P18</f>
        <v>59.400000000000006</v>
      </c>
      <c r="Q19" s="106"/>
      <c r="R19" s="121">
        <f>12*R18</f>
        <v>59.400000000000006</v>
      </c>
      <c r="S19" s="106"/>
      <c r="T19" s="121">
        <f>12*T18</f>
        <v>59.400000000000006</v>
      </c>
      <c r="U19" s="106"/>
      <c r="V19" s="121">
        <f>12*V18</f>
        <v>59.400000000000006</v>
      </c>
      <c r="W19" s="106"/>
      <c r="X19" s="94"/>
      <c r="Y19" s="94"/>
      <c r="Z19" s="94"/>
      <c r="AA19" s="94"/>
      <c r="AB19" s="94"/>
    </row>
    <row r="20" spans="2:28" s="4" customFormat="1" ht="12.75" customHeight="1">
      <c r="B20" s="106" t="s">
        <v>62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21">
        <f>L19*0.1</f>
        <v>5.940000000000001</v>
      </c>
      <c r="M20" s="106"/>
      <c r="N20" s="121">
        <f>N19*0.1</f>
        <v>5.940000000000001</v>
      </c>
      <c r="O20" s="106"/>
      <c r="P20" s="121">
        <f>P19*0.1</f>
        <v>5.940000000000001</v>
      </c>
      <c r="Q20" s="106"/>
      <c r="R20" s="121">
        <f>R19*0.1</f>
        <v>5.940000000000001</v>
      </c>
      <c r="S20" s="106"/>
      <c r="T20" s="121">
        <f>T19*0.1</f>
        <v>5.940000000000001</v>
      </c>
      <c r="U20" s="106"/>
      <c r="V20" s="121">
        <f>V19*0.1</f>
        <v>5.940000000000001</v>
      </c>
      <c r="W20" s="106"/>
      <c r="X20" s="94"/>
      <c r="Y20" s="94"/>
      <c r="Z20" s="94"/>
      <c r="AA20" s="94"/>
      <c r="AB20" s="94"/>
    </row>
    <row r="21" spans="2:28" s="4" customFormat="1" ht="5.2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94"/>
      <c r="Y21" s="94"/>
      <c r="Z21" s="94"/>
      <c r="AA21" s="94"/>
      <c r="AB21" s="94"/>
    </row>
    <row r="22" spans="2:28" s="4" customFormat="1" ht="12.75" customHeight="1">
      <c r="B22" s="105" t="s">
        <v>53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22">
        <f>L16*(L19+L20)</f>
        <v>0</v>
      </c>
      <c r="M22" s="123"/>
      <c r="N22" s="122">
        <f>N16*(N19+N20)</f>
        <v>2044.2435749999997</v>
      </c>
      <c r="O22" s="123"/>
      <c r="P22" s="122">
        <f>P16*(P19+P20)</f>
        <v>11229.711372000003</v>
      </c>
      <c r="Q22" s="123"/>
      <c r="R22" s="122">
        <f>R16*(R19+R20)</f>
        <v>37591.458817770006</v>
      </c>
      <c r="S22" s="123"/>
      <c r="T22" s="122">
        <f>T16*(T19+T20)</f>
        <v>67014.00446937076</v>
      </c>
      <c r="U22" s="123"/>
      <c r="V22" s="122">
        <f>V16*(V19+V20)</f>
        <v>81806.72545594299</v>
      </c>
      <c r="W22" s="123"/>
      <c r="X22" s="94"/>
      <c r="Y22" s="94"/>
      <c r="Z22" s="94"/>
      <c r="AA22" s="94"/>
      <c r="AB22" s="94"/>
    </row>
    <row r="23" spans="1:23" s="2" customFormat="1" ht="8.25" customHeight="1">
      <c r="A23" s="2" t="s">
        <v>4</v>
      </c>
      <c r="B23" s="135" t="s">
        <v>3</v>
      </c>
      <c r="C23" s="6"/>
      <c r="D23" s="119"/>
      <c r="E23" s="120"/>
      <c r="F23" s="6" t="s">
        <v>4</v>
      </c>
      <c r="G23" s="6"/>
      <c r="H23" s="6" t="s">
        <v>4</v>
      </c>
      <c r="I23" s="6"/>
      <c r="J23" s="6" t="s">
        <v>4</v>
      </c>
      <c r="K23" s="6"/>
      <c r="L23" s="6" t="s">
        <v>4</v>
      </c>
      <c r="M23" s="6"/>
      <c r="N23" s="6" t="s">
        <v>4</v>
      </c>
      <c r="O23" s="6"/>
      <c r="P23" s="6">
        <f>(P22-N22)/N22</f>
        <v>4.493333333333335</v>
      </c>
      <c r="Q23" s="6"/>
      <c r="R23" s="6">
        <f>(R22-P22)/P22</f>
        <v>2.3474999999999993</v>
      </c>
      <c r="S23" s="6"/>
      <c r="T23" s="6">
        <f>(T22-R22)/R22</f>
        <v>0.7826923076923077</v>
      </c>
      <c r="U23" s="6"/>
      <c r="V23" s="6">
        <f>(V22-T22)/T22</f>
        <v>0.22074074074074093</v>
      </c>
      <c r="W23" s="6"/>
    </row>
    <row r="24" spans="2:23" s="20" customFormat="1" ht="12.75" customHeight="1">
      <c r="B24" s="136" t="s">
        <v>55</v>
      </c>
      <c r="C24" s="77"/>
      <c r="D24" s="119"/>
      <c r="E24" s="124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2:26" s="20" customFormat="1" ht="12.75" customHeight="1">
      <c r="B25" s="137" t="s">
        <v>63</v>
      </c>
      <c r="C25" s="77"/>
      <c r="D25" s="119"/>
      <c r="E25" s="124"/>
      <c r="F25" s="77"/>
      <c r="G25" s="77"/>
      <c r="H25" s="77"/>
      <c r="I25" s="77"/>
      <c r="J25" s="77"/>
      <c r="K25" s="77"/>
      <c r="L25" s="65"/>
      <c r="M25" s="65"/>
      <c r="N25" s="65">
        <v>2250</v>
      </c>
      <c r="O25" s="65"/>
      <c r="P25" s="65">
        <f>1750+(P16*12)</f>
        <v>3812.3896000000004</v>
      </c>
      <c r="Q25" s="65"/>
      <c r="R25" s="65">
        <f>1750+(R16*12)</f>
        <v>8653.849186000001</v>
      </c>
      <c r="S25" s="65"/>
      <c r="T25" s="65">
        <f>1750+(T16*12)</f>
        <v>14057.438837350002</v>
      </c>
      <c r="U25" s="65"/>
      <c r="V25" s="65">
        <f>1750+(V16*12)</f>
        <v>16774.192002928</v>
      </c>
      <c r="W25" s="65"/>
      <c r="X25" s="23"/>
      <c r="Y25" s="23"/>
      <c r="Z25" s="23"/>
    </row>
    <row r="26" spans="2:26" s="20" customFormat="1" ht="12.75" customHeight="1">
      <c r="B26" s="137" t="s">
        <v>56</v>
      </c>
      <c r="C26" s="77"/>
      <c r="D26" s="119"/>
      <c r="E26" s="124"/>
      <c r="F26" s="77"/>
      <c r="G26" s="77"/>
      <c r="H26" s="77"/>
      <c r="I26" s="77"/>
      <c r="J26" s="77"/>
      <c r="K26" s="77"/>
      <c r="L26" s="65"/>
      <c r="M26" s="65"/>
      <c r="N26" s="65">
        <v>1000</v>
      </c>
      <c r="O26" s="65"/>
      <c r="P26" s="65">
        <f>N26+1000</f>
        <v>2000</v>
      </c>
      <c r="Q26" s="65"/>
      <c r="R26" s="65">
        <f>P26+1000</f>
        <v>3000</v>
      </c>
      <c r="S26" s="65"/>
      <c r="T26" s="65">
        <f>R26+1000</f>
        <v>4000</v>
      </c>
      <c r="U26" s="65"/>
      <c r="V26" s="65">
        <f>T26+1000</f>
        <v>5000</v>
      </c>
      <c r="W26" s="65"/>
      <c r="X26" s="23"/>
      <c r="Y26" s="23"/>
      <c r="Z26" s="23"/>
    </row>
    <row r="27" spans="2:26" s="20" customFormat="1" ht="12.75" customHeight="1">
      <c r="B27" s="137" t="s">
        <v>57</v>
      </c>
      <c r="C27" s="77"/>
      <c r="D27" s="119"/>
      <c r="E27" s="124"/>
      <c r="F27" s="77"/>
      <c r="G27" s="77"/>
      <c r="H27" s="77"/>
      <c r="I27" s="77"/>
      <c r="J27" s="77"/>
      <c r="K27" s="77"/>
      <c r="L27" s="65"/>
      <c r="M27" s="65"/>
      <c r="N27" s="65">
        <v>1200</v>
      </c>
      <c r="O27" s="65"/>
      <c r="P27" s="65">
        <f>0.2*P22</f>
        <v>2245.9422744000008</v>
      </c>
      <c r="Q27" s="65"/>
      <c r="R27" s="65">
        <f>0.2*R22</f>
        <v>7518.291763554002</v>
      </c>
      <c r="S27" s="65"/>
      <c r="T27" s="65">
        <f>0.2*T22</f>
        <v>13402.800893874153</v>
      </c>
      <c r="U27" s="65"/>
      <c r="V27" s="65">
        <f>0.2*V22</f>
        <v>16361.345091188598</v>
      </c>
      <c r="W27" s="65"/>
      <c r="X27" s="23"/>
      <c r="Y27" s="23"/>
      <c r="Z27" s="23"/>
    </row>
    <row r="28" spans="2:26" s="20" customFormat="1" ht="12.75" customHeight="1">
      <c r="B28" s="137" t="s">
        <v>58</v>
      </c>
      <c r="C28" s="77"/>
      <c r="D28" s="119"/>
      <c r="E28" s="124"/>
      <c r="F28" s="77"/>
      <c r="G28" s="77"/>
      <c r="H28" s="77"/>
      <c r="I28" s="77"/>
      <c r="J28" s="77"/>
      <c r="K28" s="77"/>
      <c r="L28" s="65"/>
      <c r="M28" s="65"/>
      <c r="N28" s="65">
        <v>750</v>
      </c>
      <c r="O28" s="65"/>
      <c r="P28" s="65">
        <v>1800</v>
      </c>
      <c r="Q28" s="65"/>
      <c r="R28" s="65">
        <v>3000</v>
      </c>
      <c r="S28" s="65"/>
      <c r="T28" s="65">
        <v>5000</v>
      </c>
      <c r="U28" s="65"/>
      <c r="V28" s="65">
        <v>7000</v>
      </c>
      <c r="W28" s="65"/>
      <c r="X28" s="23"/>
      <c r="Y28" s="23"/>
      <c r="Z28" s="23"/>
    </row>
    <row r="29" spans="2:26" s="20" customFormat="1" ht="12.75" customHeight="1">
      <c r="B29" s="137" t="s">
        <v>54</v>
      </c>
      <c r="C29" s="77"/>
      <c r="D29" s="119"/>
      <c r="E29" s="124"/>
      <c r="F29" s="77"/>
      <c r="G29" s="77"/>
      <c r="H29" s="77"/>
      <c r="I29" s="77"/>
      <c r="J29" s="77"/>
      <c r="K29" s="77"/>
      <c r="L29" s="65"/>
      <c r="M29" s="65"/>
      <c r="N29" s="65">
        <f>SUM(N25:N28)</f>
        <v>5200</v>
      </c>
      <c r="O29" s="65"/>
      <c r="P29" s="65">
        <f>SUM(P25:P28)</f>
        <v>9858.3318744</v>
      </c>
      <c r="Q29" s="65"/>
      <c r="R29" s="65">
        <f>SUM(R25:R28)</f>
        <v>22172.140949554003</v>
      </c>
      <c r="S29" s="65"/>
      <c r="T29" s="65">
        <f>SUM(T25:T28)</f>
        <v>36460.23973122416</v>
      </c>
      <c r="U29" s="65"/>
      <c r="V29" s="65">
        <f>SUM(V25:V28)</f>
        <v>45135.5370941166</v>
      </c>
      <c r="W29" s="65"/>
      <c r="X29" s="23"/>
      <c r="Y29" s="23"/>
      <c r="Z29" s="23"/>
    </row>
    <row r="30" spans="2:23" s="20" customFormat="1" ht="5.25" customHeight="1">
      <c r="B30" s="137"/>
      <c r="C30" s="77"/>
      <c r="D30" s="119"/>
      <c r="E30" s="124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2:23" s="20" customFormat="1" ht="12.75" customHeight="1">
      <c r="B31" s="136" t="s">
        <v>59</v>
      </c>
      <c r="C31" s="77"/>
      <c r="D31" s="119"/>
      <c r="E31" s="124"/>
      <c r="F31" s="77"/>
      <c r="G31" s="77"/>
      <c r="H31" s="77"/>
      <c r="I31" s="77"/>
      <c r="J31" s="77"/>
      <c r="K31" s="77"/>
      <c r="L31" s="65"/>
      <c r="M31" s="77"/>
      <c r="N31" s="65">
        <f>N22-N29</f>
        <v>-3155.7564250000005</v>
      </c>
      <c r="O31" s="125"/>
      <c r="P31" s="65">
        <f>P22-P29</f>
        <v>1371.3794976000027</v>
      </c>
      <c r="Q31" s="125"/>
      <c r="R31" s="65">
        <f>R22-R29</f>
        <v>15419.317868216003</v>
      </c>
      <c r="S31" s="125"/>
      <c r="T31" s="65">
        <f>T22-T29</f>
        <v>30553.7647381466</v>
      </c>
      <c r="U31" s="125"/>
      <c r="V31" s="65">
        <f>V22-V29</f>
        <v>36671.18836182639</v>
      </c>
      <c r="W31" s="125"/>
    </row>
    <row r="32" spans="1:23" s="2" customFormat="1" ht="8.25" customHeight="1">
      <c r="A32" s="2" t="s">
        <v>4</v>
      </c>
      <c r="B32" s="135" t="s">
        <v>3</v>
      </c>
      <c r="C32" s="6"/>
      <c r="D32" s="119"/>
      <c r="E32" s="120"/>
      <c r="F32" s="6" t="s">
        <v>4</v>
      </c>
      <c r="G32" s="6"/>
      <c r="H32" s="6" t="s">
        <v>4</v>
      </c>
      <c r="I32" s="6"/>
      <c r="J32" s="6" t="s">
        <v>4</v>
      </c>
      <c r="K32" s="6"/>
      <c r="L32" s="6" t="s">
        <v>4</v>
      </c>
      <c r="M32" s="6"/>
      <c r="N32" s="6" t="s">
        <v>4</v>
      </c>
      <c r="O32" s="6"/>
      <c r="P32" s="6">
        <f>(P31-N31)/N31</f>
        <v>-1.4345644317590203</v>
      </c>
      <c r="Q32" s="6"/>
      <c r="R32" s="6">
        <f>(R31-P31)/P31</f>
        <v>10.243654943945673</v>
      </c>
      <c r="S32" s="6"/>
      <c r="T32" s="6">
        <f>(T31-R31)/R31</f>
        <v>0.9815250583248813</v>
      </c>
      <c r="U32" s="6"/>
      <c r="V32" s="6">
        <f>(V31-T31)/T31</f>
        <v>0.2002183258301436</v>
      </c>
      <c r="W32" s="6"/>
    </row>
    <row r="33" spans="2:23" s="20" customFormat="1" ht="12.75" customHeight="1">
      <c r="B33" s="136" t="s">
        <v>67</v>
      </c>
      <c r="C33" s="77"/>
      <c r="D33" s="119"/>
      <c r="E33" s="124"/>
      <c r="F33" s="77"/>
      <c r="G33" s="77"/>
      <c r="H33" s="77"/>
      <c r="I33" s="77"/>
      <c r="J33" s="77"/>
      <c r="K33" s="77"/>
      <c r="L33" s="65"/>
      <c r="M33" s="77"/>
      <c r="N33" s="127" t="s">
        <v>68</v>
      </c>
      <c r="O33" s="125"/>
      <c r="P33" s="126">
        <f>P31/P22</f>
        <v>0.12212063624532506</v>
      </c>
      <c r="Q33" s="125"/>
      <c r="R33" s="126">
        <f>R31/R22</f>
        <v>0.410181417618384</v>
      </c>
      <c r="S33" s="125"/>
      <c r="T33" s="126">
        <f>T31/T22</f>
        <v>0.4559310397890253</v>
      </c>
      <c r="U33" s="125"/>
      <c r="V33" s="126">
        <f>V31/V22</f>
        <v>0.44826618053029954</v>
      </c>
      <c r="W33" s="125"/>
    </row>
    <row r="34" spans="2:23" s="20" customFormat="1" ht="12.75" customHeight="1">
      <c r="B34" s="136"/>
      <c r="C34" s="77"/>
      <c r="D34" s="119"/>
      <c r="E34" s="124"/>
      <c r="F34" s="77"/>
      <c r="G34" s="77"/>
      <c r="H34" s="77"/>
      <c r="I34" s="77"/>
      <c r="J34" s="77"/>
      <c r="K34" s="77"/>
      <c r="L34" s="65"/>
      <c r="M34" s="77"/>
      <c r="N34" s="65"/>
      <c r="O34" s="125"/>
      <c r="P34" s="65"/>
      <c r="Q34" s="125"/>
      <c r="R34" s="65"/>
      <c r="S34" s="125"/>
      <c r="T34" s="65"/>
      <c r="U34" s="125"/>
      <c r="V34" s="65"/>
      <c r="W34" s="125"/>
    </row>
    <row r="35" spans="2:23" s="20" customFormat="1" ht="12.75" customHeight="1">
      <c r="B35" s="166" t="s">
        <v>69</v>
      </c>
      <c r="C35" s="166"/>
      <c r="D35" s="166"/>
      <c r="E35" s="166"/>
      <c r="F35" s="166"/>
      <c r="G35" s="77"/>
      <c r="H35" s="77"/>
      <c r="I35" s="77"/>
      <c r="J35" s="77"/>
      <c r="K35" s="77"/>
      <c r="L35" s="65"/>
      <c r="M35" s="77"/>
      <c r="N35" s="65"/>
      <c r="O35" s="125"/>
      <c r="P35" s="65"/>
      <c r="Q35" s="125"/>
      <c r="R35" s="65"/>
      <c r="S35" s="125"/>
      <c r="T35" s="65"/>
      <c r="U35" s="125"/>
      <c r="V35" s="65"/>
      <c r="W35" s="125"/>
    </row>
    <row r="36" spans="2:23" s="20" customFormat="1" ht="5.25" customHeight="1">
      <c r="B36" s="136"/>
      <c r="C36" s="77"/>
      <c r="D36" s="119"/>
      <c r="E36" s="124"/>
      <c r="F36" s="77"/>
      <c r="G36" s="77"/>
      <c r="H36" s="77"/>
      <c r="I36" s="77"/>
      <c r="J36" s="77"/>
      <c r="K36" s="77"/>
      <c r="L36" s="65"/>
      <c r="M36" s="77"/>
      <c r="N36" s="65"/>
      <c r="O36" s="125"/>
      <c r="P36" s="65"/>
      <c r="Q36" s="125"/>
      <c r="R36" s="65"/>
      <c r="S36" s="125"/>
      <c r="T36" s="65"/>
      <c r="U36" s="125"/>
      <c r="V36" s="65"/>
      <c r="W36" s="125"/>
    </row>
    <row r="37" spans="2:23" s="20" customFormat="1" ht="12.75" customHeight="1">
      <c r="B37" s="140" t="s">
        <v>88</v>
      </c>
      <c r="C37" s="77"/>
      <c r="D37" s="119"/>
      <c r="E37" s="124"/>
      <c r="F37" s="77"/>
      <c r="G37" s="77"/>
      <c r="H37" s="77"/>
      <c r="I37" s="77"/>
      <c r="J37" s="77"/>
      <c r="K37" s="77"/>
      <c r="L37" s="65"/>
      <c r="M37" s="77"/>
      <c r="N37" s="141">
        <v>0.5</v>
      </c>
      <c r="O37" s="142"/>
      <c r="P37" s="141">
        <v>1</v>
      </c>
      <c r="Q37" s="142"/>
      <c r="R37" s="141">
        <v>1</v>
      </c>
      <c r="S37" s="142"/>
      <c r="T37" s="141">
        <v>1</v>
      </c>
      <c r="U37" s="142"/>
      <c r="V37" s="141">
        <v>1</v>
      </c>
      <c r="W37" s="125"/>
    </row>
    <row r="38" spans="2:23" s="20" customFormat="1" ht="5.25" customHeight="1">
      <c r="B38" s="140"/>
      <c r="C38" s="77"/>
      <c r="D38" s="119"/>
      <c r="E38" s="124"/>
      <c r="F38" s="77"/>
      <c r="G38" s="77"/>
      <c r="H38" s="77"/>
      <c r="I38" s="77"/>
      <c r="J38" s="77"/>
      <c r="K38" s="77"/>
      <c r="L38" s="65"/>
      <c r="M38" s="77"/>
      <c r="N38" s="141"/>
      <c r="O38" s="142"/>
      <c r="P38" s="141"/>
      <c r="Q38" s="142"/>
      <c r="R38" s="141"/>
      <c r="S38" s="142"/>
      <c r="T38" s="141"/>
      <c r="U38" s="142"/>
      <c r="V38" s="141"/>
      <c r="W38" s="125"/>
    </row>
    <row r="39" spans="2:23" s="20" customFormat="1" ht="12.75" customHeight="1">
      <c r="B39" s="136" t="s">
        <v>70</v>
      </c>
      <c r="C39" s="77"/>
      <c r="D39" s="119"/>
      <c r="E39" s="124"/>
      <c r="F39" s="77"/>
      <c r="G39" s="77"/>
      <c r="H39" s="77"/>
      <c r="I39" s="77"/>
      <c r="J39" s="77"/>
      <c r="K39" s="77"/>
      <c r="L39" s="65"/>
      <c r="M39" s="77"/>
      <c r="N39" s="65">
        <f>N22*N37</f>
        <v>1022.1217874999999</v>
      </c>
      <c r="O39" s="142"/>
      <c r="P39" s="65">
        <f>N37*P22+P37*N22</f>
        <v>7659.099261000001</v>
      </c>
      <c r="Q39" s="142"/>
      <c r="R39" s="65">
        <f>N37*R22+P37*P22+R37*N22</f>
        <v>32069.68435588501</v>
      </c>
      <c r="S39" s="142"/>
      <c r="T39" s="65">
        <f>N37*T22+P37*R22+R37*P22+T37*N22</f>
        <v>84372.41599945539</v>
      </c>
      <c r="U39" s="142"/>
      <c r="V39" s="65">
        <f>N37*V22+P37*T22+R37*R22+T37*P22+V37*N22</f>
        <v>158782.78096211224</v>
      </c>
      <c r="W39" s="142"/>
    </row>
    <row r="40" spans="1:23" s="2" customFormat="1" ht="8.25" customHeight="1">
      <c r="A40" s="2" t="s">
        <v>4</v>
      </c>
      <c r="B40" s="135" t="s">
        <v>3</v>
      </c>
      <c r="C40" s="6"/>
      <c r="D40" s="119"/>
      <c r="E40" s="120"/>
      <c r="F40" s="6" t="s">
        <v>4</v>
      </c>
      <c r="G40" s="6"/>
      <c r="H40" s="6" t="s">
        <v>4</v>
      </c>
      <c r="I40" s="6"/>
      <c r="J40" s="6" t="s">
        <v>4</v>
      </c>
      <c r="K40" s="6"/>
      <c r="L40" s="6" t="s">
        <v>4</v>
      </c>
      <c r="M40" s="6"/>
      <c r="N40" s="6" t="s">
        <v>4</v>
      </c>
      <c r="O40" s="6"/>
      <c r="P40" s="6">
        <f>(P39-N39)/N39</f>
        <v>6.493333333333335</v>
      </c>
      <c r="Q40" s="6"/>
      <c r="R40" s="6">
        <f>(R39-P39)/P39</f>
        <v>3.1871352313167263</v>
      </c>
      <c r="S40" s="6"/>
      <c r="T40" s="6">
        <f>(T39-R39)/R39</f>
        <v>1.6309088378655174</v>
      </c>
      <c r="U40" s="6"/>
      <c r="V40" s="6">
        <f>(V39-T39)/T39</f>
        <v>0.881927630982348</v>
      </c>
      <c r="W40" s="6"/>
    </row>
    <row r="41" spans="2:23" s="20" customFormat="1" ht="12.75" customHeight="1">
      <c r="B41" s="136" t="s">
        <v>71</v>
      </c>
      <c r="C41" s="77"/>
      <c r="D41" s="119"/>
      <c r="E41" s="124"/>
      <c r="F41" s="77"/>
      <c r="G41" s="77"/>
      <c r="H41" s="77"/>
      <c r="I41" s="77"/>
      <c r="J41" s="77"/>
      <c r="K41" s="77"/>
      <c r="L41" s="65"/>
      <c r="M41" s="77"/>
      <c r="N41" s="65">
        <f>N31*N37</f>
        <v>-1577.8782125000002</v>
      </c>
      <c r="O41" s="142"/>
      <c r="P41" s="65">
        <f>N37*P31+P37*N31</f>
        <v>-2470.066676199999</v>
      </c>
      <c r="Q41" s="142"/>
      <c r="R41" s="65">
        <f>N37*R31+P37*P31+R37*N31</f>
        <v>5925.282006708004</v>
      </c>
      <c r="S41" s="142"/>
      <c r="T41" s="65">
        <f>N37*T31+P37*R31+R37*P31+T37*N31</f>
        <v>28911.823309889307</v>
      </c>
      <c r="U41" s="142"/>
      <c r="V41" s="65">
        <f>N37*V31+P37*T31+R37*R31+T37*P31+V37*N31</f>
        <v>62524.29985987581</v>
      </c>
      <c r="W41" s="142"/>
    </row>
    <row r="42" spans="1:23" s="2" customFormat="1" ht="8.25" customHeight="1">
      <c r="A42" s="2" t="s">
        <v>4</v>
      </c>
      <c r="B42" s="135" t="s">
        <v>3</v>
      </c>
      <c r="C42" s="6"/>
      <c r="D42" s="119"/>
      <c r="E42" s="120"/>
      <c r="F42" s="6" t="s">
        <v>4</v>
      </c>
      <c r="G42" s="6"/>
      <c r="H42" s="6" t="s">
        <v>4</v>
      </c>
      <c r="I42" s="6"/>
      <c r="J42" s="6" t="s">
        <v>4</v>
      </c>
      <c r="K42" s="6"/>
      <c r="L42" s="6" t="s">
        <v>4</v>
      </c>
      <c r="M42" s="6"/>
      <c r="N42" s="6" t="s">
        <v>4</v>
      </c>
      <c r="O42" s="6"/>
      <c r="P42" s="6">
        <f>(P41-N41)/N41</f>
        <v>0.5654355682409796</v>
      </c>
      <c r="Q42" s="6"/>
      <c r="R42" s="6">
        <f>(R41-P41)/P41</f>
        <v>-3.3988348427191357</v>
      </c>
      <c r="S42" s="6"/>
      <c r="T42" s="6">
        <f>(T41-R41)/R41</f>
        <v>3.8794003858648876</v>
      </c>
      <c r="U42" s="6"/>
      <c r="V42" s="6">
        <f>(V41-T41)/T41</f>
        <v>1.1625858455799754</v>
      </c>
      <c r="W42" s="6"/>
    </row>
    <row r="43" spans="2:23" s="20" customFormat="1" ht="12.75" customHeight="1">
      <c r="B43" s="136" t="s">
        <v>72</v>
      </c>
      <c r="C43" s="77"/>
      <c r="D43" s="119"/>
      <c r="E43" s="124"/>
      <c r="F43" s="77"/>
      <c r="G43" s="77"/>
      <c r="H43" s="77"/>
      <c r="I43" s="77"/>
      <c r="J43" s="77"/>
      <c r="K43" s="77"/>
      <c r="L43" s="65"/>
      <c r="M43" s="77"/>
      <c r="N43" s="127" t="s">
        <v>68</v>
      </c>
      <c r="O43" s="125"/>
      <c r="P43" s="126">
        <f>P41/P39</f>
        <v>-0.32250093542690267</v>
      </c>
      <c r="Q43" s="125"/>
      <c r="R43" s="126">
        <f>R41/R39</f>
        <v>0.18476271674375472</v>
      </c>
      <c r="S43" s="125"/>
      <c r="T43" s="126">
        <f>T41/T39</f>
        <v>0.34266914094383555</v>
      </c>
      <c r="U43" s="125"/>
      <c r="V43" s="126">
        <f>V41/V39</f>
        <v>0.393772545618753</v>
      </c>
      <c r="W43" s="125"/>
    </row>
    <row r="44" spans="2:23" s="20" customFormat="1" ht="12.75" customHeight="1">
      <c r="B44" s="140"/>
      <c r="C44" s="77"/>
      <c r="D44" s="119"/>
      <c r="E44" s="124"/>
      <c r="F44" s="77"/>
      <c r="G44" s="77"/>
      <c r="H44" s="77"/>
      <c r="I44" s="77"/>
      <c r="J44" s="77"/>
      <c r="K44" s="77"/>
      <c r="L44" s="65"/>
      <c r="M44" s="77"/>
      <c r="N44" s="65"/>
      <c r="O44" s="125"/>
      <c r="P44" s="65"/>
      <c r="Q44" s="125"/>
      <c r="R44" s="65"/>
      <c r="S44" s="125"/>
      <c r="T44" s="65"/>
      <c r="U44" s="125"/>
      <c r="V44" s="65"/>
      <c r="W44" s="125"/>
    </row>
    <row r="45" spans="2:23" s="20" customFormat="1" ht="12.75" customHeight="1">
      <c r="B45" s="140"/>
      <c r="C45" s="77"/>
      <c r="D45" s="119"/>
      <c r="E45" s="124"/>
      <c r="F45" s="77"/>
      <c r="G45" s="77"/>
      <c r="H45" s="77"/>
      <c r="I45" s="77"/>
      <c r="J45" s="77"/>
      <c r="K45" s="77"/>
      <c r="L45" s="65"/>
      <c r="M45" s="77"/>
      <c r="N45" s="65"/>
      <c r="O45" s="125"/>
      <c r="P45" s="65"/>
      <c r="Q45" s="125"/>
      <c r="R45" s="65"/>
      <c r="S45" s="125"/>
      <c r="T45" s="65"/>
      <c r="U45" s="125"/>
      <c r="V45" s="65"/>
      <c r="W45" s="125"/>
    </row>
    <row r="46" spans="2:23" s="20" customFormat="1" ht="12.75" customHeight="1">
      <c r="B46" s="140"/>
      <c r="C46" s="77"/>
      <c r="D46" s="119"/>
      <c r="E46" s="124"/>
      <c r="F46" s="77"/>
      <c r="G46" s="77"/>
      <c r="H46" s="77"/>
      <c r="I46" s="77"/>
      <c r="J46" s="77"/>
      <c r="K46" s="77"/>
      <c r="L46" s="65"/>
      <c r="M46" s="77"/>
      <c r="N46" s="65"/>
      <c r="O46" s="125"/>
      <c r="P46" s="65"/>
      <c r="Q46" s="125"/>
      <c r="R46" s="65"/>
      <c r="S46" s="125"/>
      <c r="T46" s="65"/>
      <c r="U46" s="125"/>
      <c r="V46" s="65"/>
      <c r="W46" s="125"/>
    </row>
    <row r="47" spans="2:23" s="128" customFormat="1" ht="12.75" customHeight="1">
      <c r="B47" s="143" t="s">
        <v>27</v>
      </c>
      <c r="C47" s="144"/>
      <c r="D47" s="145"/>
      <c r="E47" s="146"/>
      <c r="F47" s="144"/>
      <c r="G47" s="129"/>
      <c r="H47" s="129"/>
      <c r="I47" s="129"/>
      <c r="J47" s="129"/>
      <c r="K47" s="129"/>
      <c r="L47" s="132"/>
      <c r="M47" s="129"/>
      <c r="N47" s="132"/>
      <c r="O47" s="133"/>
      <c r="P47" s="132"/>
      <c r="Q47" s="133"/>
      <c r="R47" s="132"/>
      <c r="S47" s="133"/>
      <c r="T47" s="132"/>
      <c r="U47" s="133"/>
      <c r="V47" s="132"/>
      <c r="W47" s="133"/>
    </row>
    <row r="48" spans="2:23" s="128" customFormat="1" ht="5.25" customHeight="1">
      <c r="B48" s="138"/>
      <c r="C48" s="129"/>
      <c r="D48" s="130"/>
      <c r="E48" s="131"/>
      <c r="F48" s="129"/>
      <c r="G48" s="129"/>
      <c r="H48" s="129"/>
      <c r="I48" s="129"/>
      <c r="J48" s="129"/>
      <c r="K48" s="129"/>
      <c r="L48" s="132"/>
      <c r="M48" s="129"/>
      <c r="N48" s="132"/>
      <c r="O48" s="133"/>
      <c r="P48" s="132"/>
      <c r="Q48" s="133"/>
      <c r="R48" s="132"/>
      <c r="S48" s="133"/>
      <c r="T48" s="132"/>
      <c r="U48" s="133"/>
      <c r="V48" s="132"/>
      <c r="W48" s="133"/>
    </row>
    <row r="49" spans="2:23" s="128" customFormat="1" ht="12.75" customHeight="1">
      <c r="B49" s="139" t="s">
        <v>64</v>
      </c>
      <c r="C49" s="129"/>
      <c r="D49" s="130"/>
      <c r="E49" s="131"/>
      <c r="F49" s="129"/>
      <c r="G49" s="129"/>
      <c r="H49" s="129"/>
      <c r="I49" s="129"/>
      <c r="J49" s="129"/>
      <c r="K49" s="129"/>
      <c r="L49" s="132"/>
      <c r="M49" s="129"/>
      <c r="N49" s="132"/>
      <c r="O49" s="133"/>
      <c r="P49" s="132"/>
      <c r="Q49" s="133"/>
      <c r="R49" s="132"/>
      <c r="S49" s="133"/>
      <c r="T49" s="132"/>
      <c r="U49" s="133"/>
      <c r="V49" s="132"/>
      <c r="W49" s="133"/>
    </row>
    <row r="50" spans="2:23" s="128" customFormat="1" ht="12.75" customHeight="1">
      <c r="B50" s="139" t="s">
        <v>65</v>
      </c>
      <c r="C50" s="129"/>
      <c r="D50" s="130"/>
      <c r="E50" s="131"/>
      <c r="F50" s="129"/>
      <c r="G50" s="129"/>
      <c r="H50" s="129"/>
      <c r="I50" s="129"/>
      <c r="J50" s="129"/>
      <c r="K50" s="129"/>
      <c r="L50" s="132"/>
      <c r="M50" s="129"/>
      <c r="N50" s="132"/>
      <c r="O50" s="133"/>
      <c r="P50" s="132"/>
      <c r="Q50" s="133"/>
      <c r="R50" s="132"/>
      <c r="S50" s="133"/>
      <c r="T50" s="132"/>
      <c r="U50" s="133"/>
      <c r="V50" s="132"/>
      <c r="W50" s="133"/>
    </row>
    <row r="51" spans="2:23" s="128" customFormat="1" ht="12.75" customHeight="1">
      <c r="B51" s="139" t="s">
        <v>66</v>
      </c>
      <c r="C51" s="129"/>
      <c r="D51" s="130"/>
      <c r="E51" s="131"/>
      <c r="F51" s="129"/>
      <c r="G51" s="129"/>
      <c r="H51" s="129"/>
      <c r="I51" s="129"/>
      <c r="J51" s="129"/>
      <c r="K51" s="129"/>
      <c r="L51" s="132"/>
      <c r="M51" s="129"/>
      <c r="N51" s="132"/>
      <c r="O51" s="133"/>
      <c r="P51" s="132"/>
      <c r="Q51" s="133"/>
      <c r="R51" s="132"/>
      <c r="S51" s="133"/>
      <c r="T51" s="132"/>
      <c r="U51" s="133"/>
      <c r="V51" s="132"/>
      <c r="W51" s="133"/>
    </row>
    <row r="52" spans="2:23" s="128" customFormat="1" ht="12.75" customHeight="1">
      <c r="B52" s="139" t="s">
        <v>89</v>
      </c>
      <c r="C52" s="129"/>
      <c r="D52" s="130"/>
      <c r="E52" s="131"/>
      <c r="F52" s="129"/>
      <c r="G52" s="129"/>
      <c r="H52" s="129"/>
      <c r="I52" s="129"/>
      <c r="J52" s="129"/>
      <c r="K52" s="129"/>
      <c r="L52" s="132"/>
      <c r="M52" s="129"/>
      <c r="N52" s="132"/>
      <c r="O52" s="133"/>
      <c r="P52" s="132"/>
      <c r="Q52" s="133"/>
      <c r="R52" s="132"/>
      <c r="S52" s="133"/>
      <c r="T52" s="132"/>
      <c r="U52" s="133"/>
      <c r="V52" s="132"/>
      <c r="W52" s="133"/>
    </row>
    <row r="53" spans="2:23" s="2" customFormat="1" ht="8.25" customHeight="1">
      <c r="B53" s="135"/>
      <c r="C53" s="6"/>
      <c r="D53" s="119"/>
      <c r="E53" s="12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8" s="4" customFormat="1" ht="5.25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</row>
    <row r="55" spans="1:25" s="35" customFormat="1" ht="18.75">
      <c r="A55" s="30"/>
      <c r="B55" s="31" t="s">
        <v>31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1"/>
      <c r="V55" s="32"/>
      <c r="W55" s="31"/>
      <c r="X55" s="33"/>
      <c r="Y55" s="34" t="s">
        <v>73</v>
      </c>
    </row>
    <row r="56" s="17" customFormat="1" ht="12.75">
      <c r="B56" s="21" t="s">
        <v>90</v>
      </c>
    </row>
    <row r="57" s="17" customFormat="1" ht="12.75">
      <c r="B57" s="17" t="s">
        <v>23</v>
      </c>
    </row>
    <row r="58" s="17" customFormat="1" ht="12.75"/>
    <row r="59" s="17" customFormat="1" ht="12.75"/>
    <row r="60" spans="4:25" s="12" customFormat="1" ht="12.75">
      <c r="D60" s="68"/>
      <c r="E60" s="68"/>
      <c r="F60" s="168" t="s">
        <v>0</v>
      </c>
      <c r="G60" s="168"/>
      <c r="H60" s="168"/>
      <c r="I60" s="168"/>
      <c r="J60" s="168"/>
      <c r="K60" s="68"/>
      <c r="L60" s="114" t="s">
        <v>28</v>
      </c>
      <c r="M60" s="17"/>
      <c r="N60" s="169" t="s">
        <v>1</v>
      </c>
      <c r="O60" s="169"/>
      <c r="P60" s="169"/>
      <c r="Q60" s="169"/>
      <c r="R60" s="169"/>
      <c r="S60" s="169"/>
      <c r="T60" s="169"/>
      <c r="U60" s="169"/>
      <c r="V60" s="169"/>
      <c r="W60" s="68"/>
      <c r="X60" s="68"/>
      <c r="Y60" s="68"/>
    </row>
    <row r="61" spans="2:25" s="14" customFormat="1" ht="12.75" customHeight="1">
      <c r="B61" s="13" t="s">
        <v>22</v>
      </c>
      <c r="D61" s="16"/>
      <c r="F61" s="15">
        <v>1995</v>
      </c>
      <c r="H61" s="22">
        <v>1996</v>
      </c>
      <c r="J61" s="22">
        <v>1997</v>
      </c>
      <c r="L61" s="22">
        <v>1998</v>
      </c>
      <c r="N61" s="15">
        <f>L61+1</f>
        <v>1999</v>
      </c>
      <c r="P61" s="15">
        <f>N61+1</f>
        <v>2000</v>
      </c>
      <c r="R61" s="15">
        <f>P61+1</f>
        <v>2001</v>
      </c>
      <c r="T61" s="15">
        <f>R61+1</f>
        <v>2002</v>
      </c>
      <c r="V61" s="15">
        <v>2003</v>
      </c>
      <c r="W61" s="16"/>
      <c r="X61" s="16"/>
      <c r="Y61" s="16"/>
    </row>
    <row r="62" s="1" customFormat="1" ht="16.5" customHeight="1"/>
    <row r="63" spans="2:23" s="1" customFormat="1" ht="7.5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</row>
    <row r="64" spans="2:28" s="4" customFormat="1" ht="12.75" customHeight="1">
      <c r="B64" s="166" t="s">
        <v>91</v>
      </c>
      <c r="C64" s="166"/>
      <c r="D64" s="166"/>
      <c r="E64" s="166"/>
      <c r="F64" s="16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94"/>
      <c r="Y64" s="94"/>
      <c r="Z64" s="94"/>
      <c r="AA64" s="94"/>
      <c r="AB64" s="94"/>
    </row>
    <row r="65" spans="2:28" s="4" customFormat="1" ht="5.25" customHeight="1"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94"/>
      <c r="Y65" s="94"/>
      <c r="Z65" s="94"/>
      <c r="AA65" s="94"/>
      <c r="AB65" s="94"/>
    </row>
    <row r="66" spans="2:28" s="4" customFormat="1" ht="12.75" customHeight="1">
      <c r="B66" s="105" t="s">
        <v>75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22">
        <v>1800</v>
      </c>
      <c r="M66" s="122"/>
      <c r="N66" s="122">
        <v>5000</v>
      </c>
      <c r="O66" s="122"/>
      <c r="P66" s="122">
        <v>12000</v>
      </c>
      <c r="Q66" s="122"/>
      <c r="R66" s="122">
        <v>24000</v>
      </c>
      <c r="S66" s="122"/>
      <c r="T66" s="122">
        <v>44000</v>
      </c>
      <c r="U66" s="122"/>
      <c r="V66" s="122">
        <v>80000</v>
      </c>
      <c r="W66" s="122"/>
      <c r="X66" s="94"/>
      <c r="Y66" s="94"/>
      <c r="Z66" s="94"/>
      <c r="AA66" s="94"/>
      <c r="AB66" s="94"/>
    </row>
    <row r="67" spans="1:23" s="2" customFormat="1" ht="8.25" customHeight="1">
      <c r="A67" s="2" t="s">
        <v>4</v>
      </c>
      <c r="B67" s="135" t="s">
        <v>3</v>
      </c>
      <c r="C67" s="6"/>
      <c r="D67" s="119"/>
      <c r="E67" s="120"/>
      <c r="F67" s="6" t="s">
        <v>4</v>
      </c>
      <c r="G67" s="6"/>
      <c r="H67" s="6" t="s">
        <v>4</v>
      </c>
      <c r="I67" s="6"/>
      <c r="J67" s="6" t="s">
        <v>4</v>
      </c>
      <c r="K67" s="6"/>
      <c r="L67" s="6" t="s">
        <v>4</v>
      </c>
      <c r="M67" s="6"/>
      <c r="N67" s="6">
        <f>(N66-L66)/L66</f>
        <v>1.7777777777777777</v>
      </c>
      <c r="O67" s="6"/>
      <c r="P67" s="6">
        <f>(P66-N66)/N66</f>
        <v>1.4</v>
      </c>
      <c r="Q67" s="6"/>
      <c r="R67" s="6">
        <f>(R66-P66)/P66</f>
        <v>1</v>
      </c>
      <c r="S67" s="6"/>
      <c r="T67" s="6">
        <f>(T66-R66)/R66</f>
        <v>0.8333333333333334</v>
      </c>
      <c r="U67" s="6"/>
      <c r="V67" s="6">
        <f>(V66-T66)/T66</f>
        <v>0.8181818181818182</v>
      </c>
      <c r="W67" s="6"/>
    </row>
    <row r="68" spans="2:28" s="4" customFormat="1" ht="12.75" customHeight="1">
      <c r="B68" s="94" t="s">
        <v>92</v>
      </c>
      <c r="C68" s="94"/>
      <c r="D68" s="94"/>
      <c r="E68" s="94"/>
      <c r="F68" s="94"/>
      <c r="G68" s="94"/>
      <c r="H68" s="94"/>
      <c r="I68" s="94"/>
      <c r="J68" s="94"/>
      <c r="K68" s="94"/>
      <c r="L68" s="147">
        <v>0.5</v>
      </c>
      <c r="M68" s="116"/>
      <c r="N68" s="147">
        <v>0.5</v>
      </c>
      <c r="O68" s="116"/>
      <c r="P68" s="147">
        <v>0.5</v>
      </c>
      <c r="Q68" s="116"/>
      <c r="R68" s="147">
        <v>0.5</v>
      </c>
      <c r="S68" s="116"/>
      <c r="T68" s="147">
        <v>0.5</v>
      </c>
      <c r="U68" s="116"/>
      <c r="V68" s="147">
        <v>0.5</v>
      </c>
      <c r="W68" s="116"/>
      <c r="X68" s="94"/>
      <c r="Y68" s="94"/>
      <c r="Z68" s="94"/>
      <c r="AA68" s="94"/>
      <c r="AB68" s="94"/>
    </row>
    <row r="69" spans="2:28" s="4" customFormat="1" ht="12.75" customHeight="1">
      <c r="B69" s="94" t="s">
        <v>93</v>
      </c>
      <c r="C69" s="94"/>
      <c r="D69" s="94"/>
      <c r="E69" s="94"/>
      <c r="F69" s="94"/>
      <c r="G69" s="94"/>
      <c r="H69" s="94"/>
      <c r="I69" s="94"/>
      <c r="J69" s="94"/>
      <c r="K69" s="94"/>
      <c r="L69" s="147">
        <f>100%-L68</f>
        <v>0.5</v>
      </c>
      <c r="M69" s="116"/>
      <c r="N69" s="147">
        <f>100%-N68</f>
        <v>0.5</v>
      </c>
      <c r="O69" s="116"/>
      <c r="P69" s="147">
        <f>100%-P68</f>
        <v>0.5</v>
      </c>
      <c r="Q69" s="116"/>
      <c r="R69" s="147">
        <f>100%-R68</f>
        <v>0.5</v>
      </c>
      <c r="S69" s="116"/>
      <c r="T69" s="147">
        <f>100%-T68</f>
        <v>0.5</v>
      </c>
      <c r="U69" s="116"/>
      <c r="V69" s="147">
        <f>100%-V68</f>
        <v>0.5</v>
      </c>
      <c r="W69" s="116"/>
      <c r="X69" s="94"/>
      <c r="Y69" s="94"/>
      <c r="Z69" s="94"/>
      <c r="AA69" s="94"/>
      <c r="AB69" s="94"/>
    </row>
    <row r="70" spans="2:28" s="4" customFormat="1" ht="5.2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115"/>
      <c r="M70" s="116"/>
      <c r="N70" s="115"/>
      <c r="O70" s="116"/>
      <c r="P70" s="115"/>
      <c r="Q70" s="116"/>
      <c r="R70" s="115"/>
      <c r="S70" s="116"/>
      <c r="T70" s="115"/>
      <c r="U70" s="116"/>
      <c r="V70" s="115"/>
      <c r="W70" s="116"/>
      <c r="X70" s="94"/>
      <c r="Y70" s="94"/>
      <c r="Z70" s="94"/>
      <c r="AA70" s="94"/>
      <c r="AB70" s="94"/>
    </row>
    <row r="71" spans="2:28" s="4" customFormat="1" ht="12.75" customHeight="1">
      <c r="B71" s="94" t="s">
        <v>82</v>
      </c>
      <c r="C71" s="94"/>
      <c r="D71" s="94"/>
      <c r="E71" s="94"/>
      <c r="F71" s="94"/>
      <c r="G71" s="94"/>
      <c r="H71" s="94"/>
      <c r="I71" s="94"/>
      <c r="J71" s="94"/>
      <c r="K71" s="94"/>
      <c r="L71" s="147">
        <v>0.7</v>
      </c>
      <c r="M71" s="147"/>
      <c r="N71" s="147">
        <v>0.75</v>
      </c>
      <c r="O71" s="147"/>
      <c r="P71" s="147">
        <v>0.8</v>
      </c>
      <c r="Q71" s="147"/>
      <c r="R71" s="147">
        <v>0.8</v>
      </c>
      <c r="S71" s="147"/>
      <c r="T71" s="147">
        <v>0.8</v>
      </c>
      <c r="U71" s="147"/>
      <c r="V71" s="147">
        <v>0.8</v>
      </c>
      <c r="W71" s="147"/>
      <c r="X71" s="94"/>
      <c r="Y71" s="94"/>
      <c r="Z71" s="94"/>
      <c r="AA71" s="94"/>
      <c r="AB71" s="94"/>
    </row>
    <row r="72" spans="2:28" s="4" customFormat="1" ht="12.75" customHeight="1">
      <c r="B72" s="94" t="s">
        <v>94</v>
      </c>
      <c r="C72" s="94"/>
      <c r="D72" s="94"/>
      <c r="E72" s="94"/>
      <c r="F72" s="94"/>
      <c r="G72" s="94"/>
      <c r="H72" s="94"/>
      <c r="I72" s="94"/>
      <c r="J72" s="94"/>
      <c r="K72" s="94"/>
      <c r="L72" s="147">
        <v>0.4</v>
      </c>
      <c r="M72" s="147"/>
      <c r="N72" s="147">
        <v>0.45</v>
      </c>
      <c r="O72" s="147"/>
      <c r="P72" s="147">
        <v>0.5</v>
      </c>
      <c r="Q72" s="147"/>
      <c r="R72" s="147">
        <v>0.5</v>
      </c>
      <c r="S72" s="147"/>
      <c r="T72" s="147">
        <v>0.5</v>
      </c>
      <c r="U72" s="147"/>
      <c r="V72" s="147">
        <v>0.5</v>
      </c>
      <c r="W72" s="147"/>
      <c r="X72" s="94"/>
      <c r="Y72" s="94"/>
      <c r="Z72" s="94"/>
      <c r="AA72" s="94"/>
      <c r="AB72" s="94"/>
    </row>
    <row r="73" spans="2:28" s="4" customFormat="1" ht="5.25" customHeight="1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115"/>
      <c r="M73" s="116"/>
      <c r="N73" s="115"/>
      <c r="O73" s="116"/>
      <c r="P73" s="115"/>
      <c r="Q73" s="116"/>
      <c r="R73" s="115"/>
      <c r="S73" s="116"/>
      <c r="T73" s="115"/>
      <c r="U73" s="116"/>
      <c r="V73" s="115"/>
      <c r="W73" s="116"/>
      <c r="X73" s="94"/>
      <c r="Y73" s="94"/>
      <c r="Z73" s="94"/>
      <c r="AA73" s="94"/>
      <c r="AB73" s="94"/>
    </row>
    <row r="74" spans="2:28" s="148" customFormat="1" ht="12.75" customHeight="1">
      <c r="B74" s="95" t="s">
        <v>80</v>
      </c>
      <c r="C74" s="95"/>
      <c r="D74" s="95"/>
      <c r="E74" s="95"/>
      <c r="F74" s="95"/>
      <c r="G74" s="95"/>
      <c r="H74" s="95"/>
      <c r="I74" s="95"/>
      <c r="J74" s="95"/>
      <c r="K74" s="95"/>
      <c r="L74" s="115">
        <f>L66*L68*L71+L66*L69*L72</f>
        <v>990</v>
      </c>
      <c r="M74" s="116"/>
      <c r="N74" s="115">
        <f>N66*N68*N71+N66*N69*N72</f>
        <v>3000</v>
      </c>
      <c r="O74" s="116"/>
      <c r="P74" s="115">
        <f>P66*P68*P71+P66*P69*P72</f>
        <v>7800</v>
      </c>
      <c r="Q74" s="116"/>
      <c r="R74" s="115">
        <f>R66*R68*R71+R66*R69*R72</f>
        <v>15600</v>
      </c>
      <c r="S74" s="116"/>
      <c r="T74" s="115">
        <f>T66*T68*T71+T66*T69*T72</f>
        <v>28600</v>
      </c>
      <c r="U74" s="116"/>
      <c r="V74" s="115">
        <f>V66*V68*V71+V66*V69*V72</f>
        <v>52000</v>
      </c>
      <c r="W74" s="149"/>
      <c r="X74" s="95"/>
      <c r="Y74" s="95"/>
      <c r="Z74" s="95"/>
      <c r="AA74" s="95"/>
      <c r="AB74" s="95"/>
    </row>
    <row r="75" spans="1:23" s="2" customFormat="1" ht="8.25" customHeight="1">
      <c r="A75" s="2" t="s">
        <v>4</v>
      </c>
      <c r="B75" s="135" t="s">
        <v>3</v>
      </c>
      <c r="C75" s="6"/>
      <c r="D75" s="119"/>
      <c r="E75" s="120"/>
      <c r="F75" s="6" t="s">
        <v>4</v>
      </c>
      <c r="G75" s="6"/>
      <c r="H75" s="6" t="s">
        <v>4</v>
      </c>
      <c r="I75" s="6"/>
      <c r="J75" s="6" t="s">
        <v>4</v>
      </c>
      <c r="K75" s="6"/>
      <c r="L75" s="6" t="s">
        <v>4</v>
      </c>
      <c r="M75" s="6"/>
      <c r="N75" s="6">
        <f>(N74-L74)/L74</f>
        <v>2.0303030303030303</v>
      </c>
      <c r="O75" s="6"/>
      <c r="P75" s="6">
        <f>(P74-N74)/N74</f>
        <v>1.6</v>
      </c>
      <c r="Q75" s="6"/>
      <c r="R75" s="6">
        <f>(R74-P74)/P74</f>
        <v>1</v>
      </c>
      <c r="S75" s="6"/>
      <c r="T75" s="6">
        <f>(T74-R74)/R74</f>
        <v>0.8333333333333334</v>
      </c>
      <c r="U75" s="6"/>
      <c r="V75" s="6">
        <f>(V74-T74)/T74</f>
        <v>0.8181818181818182</v>
      </c>
      <c r="W75" s="6"/>
    </row>
    <row r="76" spans="2:28" s="4" customFormat="1" ht="12.75" customHeight="1"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150">
        <f>L74/L66</f>
        <v>0.55</v>
      </c>
      <c r="M76" s="94"/>
      <c r="N76" s="150">
        <f>N74/N66</f>
        <v>0.6</v>
      </c>
      <c r="O76" s="94"/>
      <c r="P76" s="150">
        <f>P74/P66</f>
        <v>0.65</v>
      </c>
      <c r="Q76" s="94"/>
      <c r="R76" s="150">
        <f>R74/R66</f>
        <v>0.65</v>
      </c>
      <c r="S76" s="94"/>
      <c r="T76" s="150">
        <f>T74/T66</f>
        <v>0.65</v>
      </c>
      <c r="U76" s="94"/>
      <c r="V76" s="150">
        <f>V74/V66</f>
        <v>0.65</v>
      </c>
      <c r="W76" s="94"/>
      <c r="X76" s="94"/>
      <c r="Y76" s="94"/>
      <c r="Z76" s="94"/>
      <c r="AA76" s="94"/>
      <c r="AB76" s="94"/>
    </row>
    <row r="77" spans="2:28" s="4" customFormat="1" ht="5.25" customHeight="1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150"/>
      <c r="M77" s="94"/>
      <c r="N77" s="150"/>
      <c r="O77" s="94"/>
      <c r="P77" s="150"/>
      <c r="Q77" s="94"/>
      <c r="R77" s="150"/>
      <c r="S77" s="94"/>
      <c r="T77" s="150"/>
      <c r="U77" s="94"/>
      <c r="V77" s="150"/>
      <c r="W77" s="94"/>
      <c r="X77" s="94"/>
      <c r="Y77" s="94"/>
      <c r="Z77" s="94"/>
      <c r="AA77" s="94"/>
      <c r="AB77" s="94"/>
    </row>
    <row r="78" spans="2:28" s="4" customFormat="1" ht="12.75" customHeight="1">
      <c r="B78" s="94" t="s">
        <v>84</v>
      </c>
      <c r="C78" s="94"/>
      <c r="D78" s="94"/>
      <c r="E78" s="94"/>
      <c r="F78" s="94"/>
      <c r="G78" s="94"/>
      <c r="H78" s="94"/>
      <c r="I78" s="94"/>
      <c r="J78" s="94"/>
      <c r="K78" s="94"/>
      <c r="L78" s="150">
        <v>0.2</v>
      </c>
      <c r="M78" s="94"/>
      <c r="N78" s="150">
        <v>0.2</v>
      </c>
      <c r="O78" s="94"/>
      <c r="P78" s="150">
        <v>0.2</v>
      </c>
      <c r="Q78" s="94"/>
      <c r="R78" s="150">
        <v>0.2</v>
      </c>
      <c r="S78" s="94"/>
      <c r="T78" s="150">
        <v>0.2</v>
      </c>
      <c r="U78" s="94"/>
      <c r="V78" s="150">
        <v>0.2</v>
      </c>
      <c r="W78" s="94"/>
      <c r="X78" s="94"/>
      <c r="Y78" s="94"/>
      <c r="Z78" s="94"/>
      <c r="AA78" s="94"/>
      <c r="AB78" s="94"/>
    </row>
    <row r="79" spans="2:28" s="4" customFormat="1" ht="12.75" customHeight="1">
      <c r="B79" s="95" t="s">
        <v>81</v>
      </c>
      <c r="C79" s="94"/>
      <c r="D79" s="94"/>
      <c r="E79" s="94"/>
      <c r="F79" s="94"/>
      <c r="G79" s="94"/>
      <c r="H79" s="94"/>
      <c r="I79" s="94"/>
      <c r="J79" s="94"/>
      <c r="K79" s="94"/>
      <c r="L79" s="115">
        <f>L74-(L66*L78)</f>
        <v>630</v>
      </c>
      <c r="M79" s="94"/>
      <c r="N79" s="115">
        <f>N74-(N66*N78)</f>
        <v>2000</v>
      </c>
      <c r="O79" s="94"/>
      <c r="P79" s="115">
        <f>P74-(P66*P78)</f>
        <v>5400</v>
      </c>
      <c r="Q79" s="94"/>
      <c r="R79" s="115">
        <f>R74-(R66*R78)</f>
        <v>10800</v>
      </c>
      <c r="S79" s="94"/>
      <c r="T79" s="115">
        <f>T74-(T66*T78)</f>
        <v>19800</v>
      </c>
      <c r="U79" s="94"/>
      <c r="V79" s="115">
        <f>V74-(V66*V78)</f>
        <v>36000</v>
      </c>
      <c r="W79" s="94"/>
      <c r="X79" s="94"/>
      <c r="Y79" s="94"/>
      <c r="Z79" s="94"/>
      <c r="AA79" s="94"/>
      <c r="AB79" s="94"/>
    </row>
    <row r="80" spans="1:23" s="2" customFormat="1" ht="8.25" customHeight="1">
      <c r="A80" s="2" t="s">
        <v>4</v>
      </c>
      <c r="B80" s="135" t="s">
        <v>3</v>
      </c>
      <c r="C80" s="6"/>
      <c r="D80" s="119"/>
      <c r="E80" s="120"/>
      <c r="F80" s="6" t="s">
        <v>4</v>
      </c>
      <c r="G80" s="6"/>
      <c r="H80" s="6" t="s">
        <v>4</v>
      </c>
      <c r="I80" s="6"/>
      <c r="J80" s="6" t="s">
        <v>4</v>
      </c>
      <c r="K80" s="6"/>
      <c r="L80" s="6" t="s">
        <v>4</v>
      </c>
      <c r="M80" s="6"/>
      <c r="N80" s="6">
        <f>(N79-L79)/L79</f>
        <v>2.1746031746031744</v>
      </c>
      <c r="O80" s="6"/>
      <c r="P80" s="6">
        <f>(P79-N79)/N79</f>
        <v>1.7</v>
      </c>
      <c r="Q80" s="6"/>
      <c r="R80" s="6">
        <f>(R79-P79)/P79</f>
        <v>1</v>
      </c>
      <c r="S80" s="6"/>
      <c r="T80" s="6">
        <f>(T79-R79)/R79</f>
        <v>0.8333333333333334</v>
      </c>
      <c r="U80" s="6"/>
      <c r="V80" s="6">
        <f>(V79-T79)/T79</f>
        <v>0.8181818181818182</v>
      </c>
      <c r="W80" s="6"/>
    </row>
    <row r="81" spans="2:28" s="4" customFormat="1" ht="12.75" customHeight="1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150"/>
      <c r="M81" s="94"/>
      <c r="N81" s="150"/>
      <c r="O81" s="94"/>
      <c r="P81" s="150"/>
      <c r="Q81" s="94"/>
      <c r="R81" s="150"/>
      <c r="S81" s="94"/>
      <c r="T81" s="150"/>
      <c r="U81" s="94"/>
      <c r="V81" s="150"/>
      <c r="W81" s="94"/>
      <c r="X81" s="94"/>
      <c r="Y81" s="94"/>
      <c r="Z81" s="94"/>
      <c r="AA81" s="94"/>
      <c r="AB81" s="94"/>
    </row>
    <row r="82" spans="2:28" s="4" customFormat="1" ht="12.75" customHeight="1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150"/>
      <c r="M82" s="94"/>
      <c r="N82" s="150"/>
      <c r="O82" s="94"/>
      <c r="P82" s="150"/>
      <c r="Q82" s="94"/>
      <c r="R82" s="150"/>
      <c r="S82" s="94"/>
      <c r="T82" s="150"/>
      <c r="U82" s="94"/>
      <c r="V82" s="150"/>
      <c r="W82" s="94"/>
      <c r="X82" s="94"/>
      <c r="Y82" s="94"/>
      <c r="Z82" s="94"/>
      <c r="AA82" s="94"/>
      <c r="AB82" s="94"/>
    </row>
    <row r="83" spans="2:28" s="4" customFormat="1" ht="12.75" customHeight="1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150"/>
      <c r="M83" s="94"/>
      <c r="N83" s="150"/>
      <c r="O83" s="94"/>
      <c r="P83" s="150"/>
      <c r="Q83" s="94"/>
      <c r="R83" s="150"/>
      <c r="S83" s="94"/>
      <c r="T83" s="150"/>
      <c r="U83" s="94"/>
      <c r="V83" s="150"/>
      <c r="W83" s="94"/>
      <c r="X83" s="94"/>
      <c r="Y83" s="94"/>
      <c r="Z83" s="94"/>
      <c r="AA83" s="94"/>
      <c r="AB83" s="94"/>
    </row>
    <row r="84" spans="2:28" s="4" customFormat="1" ht="12.75" customHeight="1">
      <c r="B84" s="166" t="s">
        <v>76</v>
      </c>
      <c r="C84" s="166"/>
      <c r="D84" s="166"/>
      <c r="E84" s="166"/>
      <c r="F84" s="16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94"/>
      <c r="Y84" s="94"/>
      <c r="Z84" s="94"/>
      <c r="AA84" s="94"/>
      <c r="AB84" s="94"/>
    </row>
    <row r="85" spans="2:28" s="4" customFormat="1" ht="5.25" customHeight="1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150"/>
      <c r="M85" s="94"/>
      <c r="N85" s="150"/>
      <c r="O85" s="94"/>
      <c r="P85" s="150"/>
      <c r="Q85" s="94"/>
      <c r="R85" s="150"/>
      <c r="S85" s="94"/>
      <c r="T85" s="150"/>
      <c r="U85" s="94"/>
      <c r="V85" s="150"/>
      <c r="W85" s="94"/>
      <c r="X85" s="94"/>
      <c r="Y85" s="94"/>
      <c r="Z85" s="94"/>
      <c r="AA85" s="94"/>
      <c r="AB85" s="94"/>
    </row>
    <row r="86" spans="2:28" s="4" customFormat="1" ht="12.75" customHeight="1">
      <c r="B86" s="94" t="s">
        <v>85</v>
      </c>
      <c r="C86" s="94"/>
      <c r="D86" s="94"/>
      <c r="E86" s="94"/>
      <c r="F86" s="94"/>
      <c r="G86" s="94"/>
      <c r="H86" s="94"/>
      <c r="I86" s="94"/>
      <c r="J86" s="94"/>
      <c r="K86" s="94"/>
      <c r="L86" s="115">
        <v>2500</v>
      </c>
      <c r="M86" s="94"/>
      <c r="N86" s="115">
        <f>L86*1.05</f>
        <v>2625</v>
      </c>
      <c r="O86" s="94"/>
      <c r="P86" s="115">
        <f>N86*1.05</f>
        <v>2756.25</v>
      </c>
      <c r="Q86" s="94"/>
      <c r="R86" s="115">
        <f>P86*1.05</f>
        <v>2894.0625</v>
      </c>
      <c r="S86" s="94"/>
      <c r="T86" s="115">
        <f>R86*1.05</f>
        <v>3038.765625</v>
      </c>
      <c r="U86" s="94"/>
      <c r="V86" s="115">
        <f>T86*1.05</f>
        <v>3190.7039062500003</v>
      </c>
      <c r="W86" s="94"/>
      <c r="X86" s="94"/>
      <c r="Y86" s="94"/>
      <c r="Z86" s="94"/>
      <c r="AA86" s="94"/>
      <c r="AB86" s="94"/>
    </row>
    <row r="87" spans="1:23" s="2" customFormat="1" ht="8.25" customHeight="1">
      <c r="A87" s="2" t="s">
        <v>4</v>
      </c>
      <c r="B87" s="135" t="s">
        <v>3</v>
      </c>
      <c r="C87" s="6"/>
      <c r="D87" s="119"/>
      <c r="E87" s="120"/>
      <c r="F87" s="6" t="s">
        <v>4</v>
      </c>
      <c r="G87" s="6"/>
      <c r="H87" s="6" t="s">
        <v>4</v>
      </c>
      <c r="I87" s="6"/>
      <c r="J87" s="6" t="s">
        <v>4</v>
      </c>
      <c r="K87" s="6"/>
      <c r="L87" s="6" t="s">
        <v>4</v>
      </c>
      <c r="M87" s="6"/>
      <c r="N87" s="6">
        <f>(N86-L86)/L86</f>
        <v>0.05</v>
      </c>
      <c r="O87" s="6"/>
      <c r="P87" s="6">
        <f>(P86-N86)/N86</f>
        <v>0.05</v>
      </c>
      <c r="Q87" s="6"/>
      <c r="R87" s="6">
        <f>(R86-P86)/P86</f>
        <v>0.05</v>
      </c>
      <c r="S87" s="6"/>
      <c r="T87" s="6">
        <f>(T86-R86)/R86</f>
        <v>0.05</v>
      </c>
      <c r="U87" s="6"/>
      <c r="V87" s="6">
        <f>(V86-T86)/T86</f>
        <v>0.05000000000000009</v>
      </c>
      <c r="W87" s="6"/>
    </row>
    <row r="88" spans="2:28" s="4" customFormat="1" ht="12.75" customHeight="1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150"/>
      <c r="M88" s="94"/>
      <c r="N88" s="150"/>
      <c r="O88" s="94"/>
      <c r="P88" s="150"/>
      <c r="Q88" s="94"/>
      <c r="R88" s="150"/>
      <c r="S88" s="94"/>
      <c r="T88" s="150"/>
      <c r="U88" s="94"/>
      <c r="V88" s="150"/>
      <c r="W88" s="94"/>
      <c r="X88" s="94"/>
      <c r="Y88" s="94"/>
      <c r="Z88" s="94"/>
      <c r="AA88" s="94"/>
      <c r="AB88" s="94"/>
    </row>
    <row r="89" spans="2:28" s="4" customFormat="1" ht="12.75" customHeight="1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150"/>
      <c r="M89" s="94"/>
      <c r="N89" s="150"/>
      <c r="O89" s="94"/>
      <c r="P89" s="150"/>
      <c r="Q89" s="94"/>
      <c r="R89" s="150"/>
      <c r="S89" s="94"/>
      <c r="T89" s="150"/>
      <c r="U89" s="94"/>
      <c r="V89" s="150"/>
      <c r="W89" s="94"/>
      <c r="X89" s="94"/>
      <c r="Y89" s="94"/>
      <c r="Z89" s="94"/>
      <c r="AA89" s="94"/>
      <c r="AB89" s="94"/>
    </row>
    <row r="90" spans="2:28" s="4" customFormat="1" ht="12.75" customHeight="1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150"/>
      <c r="M90" s="94"/>
      <c r="N90" s="150"/>
      <c r="O90" s="94"/>
      <c r="P90" s="150"/>
      <c r="Q90" s="94"/>
      <c r="R90" s="150"/>
      <c r="S90" s="94"/>
      <c r="T90" s="150"/>
      <c r="U90" s="94"/>
      <c r="V90" s="150"/>
      <c r="W90" s="94"/>
      <c r="X90" s="94"/>
      <c r="Y90" s="94"/>
      <c r="Z90" s="94"/>
      <c r="AA90" s="94"/>
      <c r="AB90" s="94"/>
    </row>
    <row r="91" spans="2:28" s="4" customFormat="1" ht="12.75" customHeight="1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150"/>
      <c r="M91" s="94"/>
      <c r="N91" s="150"/>
      <c r="O91" s="94"/>
      <c r="P91" s="150"/>
      <c r="Q91" s="94"/>
      <c r="R91" s="150"/>
      <c r="S91" s="94"/>
      <c r="T91" s="150"/>
      <c r="U91" s="94"/>
      <c r="V91" s="150"/>
      <c r="W91" s="94"/>
      <c r="X91" s="94"/>
      <c r="Y91" s="94"/>
      <c r="Z91" s="94"/>
      <c r="AA91" s="94"/>
      <c r="AB91" s="94"/>
    </row>
    <row r="92" spans="2:28" s="4" customFormat="1" ht="12.75" customHeight="1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150"/>
      <c r="M92" s="94"/>
      <c r="N92" s="150"/>
      <c r="O92" s="94"/>
      <c r="P92" s="150"/>
      <c r="Q92" s="94"/>
      <c r="R92" s="150"/>
      <c r="S92" s="94"/>
      <c r="T92" s="150"/>
      <c r="U92" s="94"/>
      <c r="V92" s="150"/>
      <c r="W92" s="94"/>
      <c r="X92" s="94"/>
      <c r="Y92" s="94"/>
      <c r="Z92" s="94"/>
      <c r="AA92" s="94"/>
      <c r="AB92" s="94"/>
    </row>
    <row r="93" spans="2:28" s="4" customFormat="1" ht="12.75" customHeight="1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150"/>
      <c r="M93" s="94"/>
      <c r="N93" s="150"/>
      <c r="O93" s="94"/>
      <c r="P93" s="150"/>
      <c r="Q93" s="94"/>
      <c r="R93" s="150"/>
      <c r="S93" s="94"/>
      <c r="T93" s="150"/>
      <c r="U93" s="94"/>
      <c r="V93" s="150"/>
      <c r="W93" s="94"/>
      <c r="X93" s="94"/>
      <c r="Y93" s="94"/>
      <c r="Z93" s="94"/>
      <c r="AA93" s="94"/>
      <c r="AB93" s="94"/>
    </row>
    <row r="94" spans="2:28" s="4" customFormat="1" ht="12.75" customHeight="1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2:28" s="4" customFormat="1" ht="12.75" customHeight="1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2:28" s="4" customFormat="1" ht="12.75" customHeight="1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2:28" s="4" customFormat="1" ht="12.75" customHeight="1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5" s="35" customFormat="1" ht="18.75">
      <c r="A98" s="30"/>
      <c r="B98" s="31" t="s">
        <v>31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31"/>
      <c r="V98" s="32"/>
      <c r="W98" s="31"/>
      <c r="X98" s="33"/>
      <c r="Y98" s="34" t="s">
        <v>73</v>
      </c>
    </row>
    <row r="99" s="17" customFormat="1" ht="12.75">
      <c r="B99" s="21" t="s">
        <v>32</v>
      </c>
    </row>
    <row r="100" s="17" customFormat="1" ht="12.75">
      <c r="B100" s="17" t="s">
        <v>33</v>
      </c>
    </row>
    <row r="101" s="17" customFormat="1" ht="12.75"/>
    <row r="102" s="17" customFormat="1" ht="12.75"/>
    <row r="103" spans="4:25" s="12" customFormat="1" ht="12.75">
      <c r="D103" s="68"/>
      <c r="E103" s="68"/>
      <c r="F103" s="168" t="s">
        <v>0</v>
      </c>
      <c r="G103" s="168"/>
      <c r="H103" s="168"/>
      <c r="I103" s="168"/>
      <c r="J103" s="168"/>
      <c r="K103" s="68"/>
      <c r="L103" s="114" t="s">
        <v>28</v>
      </c>
      <c r="M103" s="17"/>
      <c r="N103" s="169" t="s">
        <v>1</v>
      </c>
      <c r="O103" s="169"/>
      <c r="P103" s="169"/>
      <c r="Q103" s="169"/>
      <c r="R103" s="169"/>
      <c r="S103" s="169"/>
      <c r="T103" s="169"/>
      <c r="U103" s="169"/>
      <c r="V103" s="169"/>
      <c r="W103" s="68"/>
      <c r="X103" s="68"/>
      <c r="Y103" s="68"/>
    </row>
    <row r="104" spans="2:25" s="14" customFormat="1" ht="12.75" customHeight="1">
      <c r="B104" s="13" t="s">
        <v>22</v>
      </c>
      <c r="D104" s="16"/>
      <c r="F104" s="15">
        <v>1995</v>
      </c>
      <c r="H104" s="22">
        <v>1996</v>
      </c>
      <c r="J104" s="22">
        <v>1997</v>
      </c>
      <c r="L104" s="22">
        <v>1998</v>
      </c>
      <c r="N104" s="15">
        <f>L104+1</f>
        <v>1999</v>
      </c>
      <c r="P104" s="15">
        <f>N104+1</f>
        <v>2000</v>
      </c>
      <c r="R104" s="15">
        <f>P104+1</f>
        <v>2001</v>
      </c>
      <c r="T104" s="15">
        <f>R104+1</f>
        <v>2002</v>
      </c>
      <c r="V104" s="15">
        <v>2003</v>
      </c>
      <c r="W104" s="16"/>
      <c r="X104" s="16"/>
      <c r="Y104" s="16"/>
    </row>
    <row r="105" s="1" customFormat="1" ht="7.5" customHeight="1"/>
    <row r="106" spans="2:21" s="1" customFormat="1" ht="12.75">
      <c r="B106" s="26" t="s">
        <v>2</v>
      </c>
      <c r="K106" s="17"/>
      <c r="L106" s="65" t="s">
        <v>4</v>
      </c>
      <c r="M106" s="17"/>
      <c r="N106" s="65" t="s">
        <v>4</v>
      </c>
      <c r="O106" s="17"/>
      <c r="P106" s="65" t="s">
        <v>4</v>
      </c>
      <c r="Q106" s="17"/>
      <c r="R106" s="65" t="s">
        <v>4</v>
      </c>
      <c r="S106" s="17"/>
      <c r="T106" s="65" t="s">
        <v>4</v>
      </c>
      <c r="U106" s="17"/>
    </row>
    <row r="107" spans="2:23" s="1" customFormat="1" ht="12.75">
      <c r="B107" s="94" t="s">
        <v>34</v>
      </c>
      <c r="F107" s="107">
        <v>1311</v>
      </c>
      <c r="G107" s="108"/>
      <c r="H107" s="107">
        <v>1460</v>
      </c>
      <c r="I107" s="108"/>
      <c r="J107" s="107">
        <v>1651</v>
      </c>
      <c r="K107" s="108"/>
      <c r="L107" s="107">
        <v>1600</v>
      </c>
      <c r="M107" s="109"/>
      <c r="N107" s="107">
        <f>N39+N66</f>
        <v>6022.1217875</v>
      </c>
      <c r="O107" s="109"/>
      <c r="P107" s="107">
        <f>P39+P66</f>
        <v>19659.099261000003</v>
      </c>
      <c r="Q107" s="109"/>
      <c r="R107" s="107">
        <f>R39+R66</f>
        <v>56069.68435588501</v>
      </c>
      <c r="S107" s="109"/>
      <c r="T107" s="107">
        <f>T39+T66</f>
        <v>128372.41599945539</v>
      </c>
      <c r="U107" s="109"/>
      <c r="V107" s="107">
        <f>V39+V66</f>
        <v>238782.78096211224</v>
      </c>
      <c r="W107" s="109"/>
    </row>
    <row r="108" spans="2:23" s="1" customFormat="1" ht="12.75">
      <c r="B108" s="94" t="s">
        <v>35</v>
      </c>
      <c r="F108" s="103">
        <v>1</v>
      </c>
      <c r="G108" s="101" t="s">
        <v>4</v>
      </c>
      <c r="H108" s="103">
        <v>17</v>
      </c>
      <c r="I108" s="102"/>
      <c r="J108" s="103">
        <v>0</v>
      </c>
      <c r="K108" s="102"/>
      <c r="L108" s="103">
        <v>0</v>
      </c>
      <c r="M108" s="101" t="s">
        <v>4</v>
      </c>
      <c r="N108" s="103">
        <v>0</v>
      </c>
      <c r="O108" s="101" t="s">
        <v>4</v>
      </c>
      <c r="P108" s="103">
        <v>0</v>
      </c>
      <c r="Q108" s="101" t="s">
        <v>4</v>
      </c>
      <c r="R108" s="103">
        <v>0</v>
      </c>
      <c r="S108" s="101" t="s">
        <v>4</v>
      </c>
      <c r="T108" s="103">
        <v>0</v>
      </c>
      <c r="U108" s="101" t="s">
        <v>4</v>
      </c>
      <c r="V108" s="103">
        <v>0</v>
      </c>
      <c r="W108" s="101" t="s">
        <v>4</v>
      </c>
    </row>
    <row r="109" spans="2:23" s="1" customFormat="1" ht="12.75">
      <c r="B109" s="95" t="s">
        <v>24</v>
      </c>
      <c r="F109" s="100">
        <f>SUM(F107:F108)</f>
        <v>1312</v>
      </c>
      <c r="G109" s="101"/>
      <c r="H109" s="100">
        <f>SUM(H107:H108)</f>
        <v>1477</v>
      </c>
      <c r="I109" s="101"/>
      <c r="J109" s="100">
        <f>SUM(J107:J108)</f>
        <v>1651</v>
      </c>
      <c r="K109" s="101"/>
      <c r="L109" s="100">
        <f>SUM(L107:L108)</f>
        <v>1600</v>
      </c>
      <c r="M109" s="101"/>
      <c r="N109" s="100">
        <f>SUM(N107:N108)</f>
        <v>6022.1217875</v>
      </c>
      <c r="O109" s="101"/>
      <c r="P109" s="100">
        <f>SUM(P107:P108)</f>
        <v>19659.099261000003</v>
      </c>
      <c r="Q109" s="101"/>
      <c r="R109" s="100">
        <f>SUM(R107:R108)</f>
        <v>56069.68435588501</v>
      </c>
      <c r="S109" s="101"/>
      <c r="T109" s="100">
        <f>SUM(T107:T108)</f>
        <v>128372.41599945539</v>
      </c>
      <c r="U109" s="101"/>
      <c r="V109" s="100">
        <f>SUM(V107:V108)</f>
        <v>238782.78096211224</v>
      </c>
      <c r="W109" s="101"/>
    </row>
    <row r="110" spans="2:22" s="2" customFormat="1" ht="8.25" customHeight="1">
      <c r="B110" s="3" t="s">
        <v>3</v>
      </c>
      <c r="D110" s="61"/>
      <c r="E110"/>
      <c r="F110" s="2" t="s">
        <v>4</v>
      </c>
      <c r="H110" s="2">
        <f>(H109-F109)/F109</f>
        <v>0.12576219512195122</v>
      </c>
      <c r="J110" s="2">
        <f>(J109-H109)/H109</f>
        <v>0.11780636425186188</v>
      </c>
      <c r="L110" s="2">
        <f>(L109-J109)/J109</f>
        <v>-0.030890369473046637</v>
      </c>
      <c r="N110" s="2">
        <f>(N109-L109)/L109</f>
        <v>2.7638261171875</v>
      </c>
      <c r="P110" s="2">
        <f>(P109-N109)/N109</f>
        <v>2.264480519441837</v>
      </c>
      <c r="R110" s="2">
        <f>(R109-P109)/P109</f>
        <v>1.8520983393739119</v>
      </c>
      <c r="T110" s="2">
        <f>(T109-R109)/R109</f>
        <v>1.2895155818008734</v>
      </c>
      <c r="V110" s="2">
        <f>(V109-T109)/T109</f>
        <v>0.8600785776527354</v>
      </c>
    </row>
    <row r="111" spans="2:25" s="1" customFormat="1" ht="12.75">
      <c r="B111" s="18" t="s">
        <v>36</v>
      </c>
      <c r="F111" s="103">
        <v>334</v>
      </c>
      <c r="G111" s="101"/>
      <c r="H111" s="103">
        <v>647</v>
      </c>
      <c r="I111" s="102"/>
      <c r="J111" s="103">
        <v>472</v>
      </c>
      <c r="K111" s="102"/>
      <c r="L111" s="103">
        <v>250</v>
      </c>
      <c r="M111" s="165"/>
      <c r="N111" s="100"/>
      <c r="O111" s="165"/>
      <c r="P111" s="100"/>
      <c r="Q111" s="165"/>
      <c r="R111" s="100"/>
      <c r="S111" s="165"/>
      <c r="T111" s="100"/>
      <c r="U111" s="165"/>
      <c r="V111" s="100"/>
      <c r="W111" s="102"/>
      <c r="X111" s="65"/>
      <c r="Y111" s="17"/>
    </row>
    <row r="112" spans="2:25" s="19" customFormat="1" ht="12.75">
      <c r="B112" s="26" t="s">
        <v>5</v>
      </c>
      <c r="D112" s="61"/>
      <c r="E112"/>
      <c r="F112" s="104">
        <f>F109-F111</f>
        <v>978</v>
      </c>
      <c r="G112" s="102"/>
      <c r="H112" s="104">
        <f>H109-H111</f>
        <v>830</v>
      </c>
      <c r="I112" s="102"/>
      <c r="J112" s="104">
        <f>J109-J111</f>
        <v>1179</v>
      </c>
      <c r="K112" s="102"/>
      <c r="L112" s="104">
        <f>L109-L111</f>
        <v>1350</v>
      </c>
      <c r="M112" s="102"/>
      <c r="N112" s="167" t="s">
        <v>87</v>
      </c>
      <c r="O112" s="167"/>
      <c r="P112" s="167"/>
      <c r="Q112" s="167"/>
      <c r="R112" s="167"/>
      <c r="S112" s="167"/>
      <c r="T112" s="167"/>
      <c r="U112" s="167"/>
      <c r="V112" s="167"/>
      <c r="W112" s="102"/>
      <c r="X112" s="23"/>
      <c r="Y112" s="23"/>
    </row>
    <row r="113" spans="2:23" s="19" customFormat="1" ht="12.75">
      <c r="B113" s="29" t="s">
        <v>37</v>
      </c>
      <c r="D113" s="61"/>
      <c r="E113"/>
      <c r="F113" s="102">
        <v>1260</v>
      </c>
      <c r="G113" s="102"/>
      <c r="H113" s="102">
        <v>1956</v>
      </c>
      <c r="I113" s="102"/>
      <c r="J113" s="102">
        <v>1361</v>
      </c>
      <c r="K113" s="102"/>
      <c r="L113" s="102">
        <v>2000</v>
      </c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</row>
    <row r="114" spans="2:23" s="19" customFormat="1" ht="12.75">
      <c r="B114" s="29" t="s">
        <v>38</v>
      </c>
      <c r="D114" s="61"/>
      <c r="E114"/>
      <c r="F114" s="110">
        <v>4998</v>
      </c>
      <c r="G114" s="102"/>
      <c r="H114" s="110">
        <v>6333</v>
      </c>
      <c r="I114" s="102"/>
      <c r="J114" s="110">
        <v>6880</v>
      </c>
      <c r="K114" s="102"/>
      <c r="L114" s="110">
        <v>7800</v>
      </c>
      <c r="M114" s="102"/>
      <c r="N114" s="110"/>
      <c r="O114" s="102"/>
      <c r="P114" s="110"/>
      <c r="Q114" s="102"/>
      <c r="R114" s="110"/>
      <c r="S114" s="102"/>
      <c r="T114" s="110"/>
      <c r="U114" s="102"/>
      <c r="V114" s="110"/>
      <c r="W114" s="102"/>
    </row>
    <row r="115" spans="2:22" s="19" customFormat="1" ht="12.75">
      <c r="B115" s="28" t="s">
        <v>41</v>
      </c>
      <c r="D115" s="61"/>
      <c r="E115"/>
      <c r="F115" s="19">
        <f>F112-F113-F114</f>
        <v>-5280</v>
      </c>
      <c r="H115" s="19">
        <f>H112-H113-H114</f>
        <v>-7459</v>
      </c>
      <c r="J115" s="19">
        <f>J112-J113-J114</f>
        <v>-7062</v>
      </c>
      <c r="L115" s="19">
        <f>L112-L113-L114</f>
        <v>-8450</v>
      </c>
      <c r="N115" s="19">
        <f>N41+N79-N86</f>
        <v>-2202.8782125000002</v>
      </c>
      <c r="P115" s="19">
        <f>P41+P79-P86</f>
        <v>173.68332380000084</v>
      </c>
      <c r="R115" s="19">
        <f>R41+R79-R86</f>
        <v>13831.219506708003</v>
      </c>
      <c r="T115" s="19">
        <f>T41+T79-T86</f>
        <v>45673.05768488931</v>
      </c>
      <c r="V115" s="19">
        <f>V41+V79-V86</f>
        <v>95333.59595362582</v>
      </c>
    </row>
    <row r="116" spans="2:24" s="2" customFormat="1" ht="8.25" customHeight="1">
      <c r="B116" s="3" t="s">
        <v>3</v>
      </c>
      <c r="D116" s="61"/>
      <c r="E116"/>
      <c r="F116" s="6" t="s">
        <v>4</v>
      </c>
      <c r="H116" s="6">
        <f>(H115-F115)/H115</f>
        <v>0.2921303123743129</v>
      </c>
      <c r="J116" s="6">
        <f>(J115-H115)/J115</f>
        <v>-0.05621636930048145</v>
      </c>
      <c r="L116" s="6">
        <f>(L115-J115)/L115</f>
        <v>0.1642603550295858</v>
      </c>
      <c r="N116" s="6">
        <f>(N115-L115)/N115</f>
        <v>-2.835890677955488</v>
      </c>
      <c r="P116" s="6">
        <f>(P115-N115)/P115</f>
        <v>13.683302946439753</v>
      </c>
      <c r="R116" s="6">
        <f>(R115-P115)/R115</f>
        <v>0.9874426601561949</v>
      </c>
      <c r="T116" s="6">
        <f>(T115-R115)/T115</f>
        <v>0.6971689611382426</v>
      </c>
      <c r="V116" s="6">
        <f>(V115-T115)/V115</f>
        <v>0.5209133020943995</v>
      </c>
      <c r="X116" s="6"/>
    </row>
    <row r="117" spans="2:23" s="19" customFormat="1" ht="12.75">
      <c r="B117" s="29" t="s">
        <v>40</v>
      </c>
      <c r="D117" s="61"/>
      <c r="E117"/>
      <c r="F117" s="111">
        <v>687</v>
      </c>
      <c r="G117" s="111"/>
      <c r="H117" s="111">
        <v>420</v>
      </c>
      <c r="I117" s="111"/>
      <c r="J117" s="111">
        <v>328</v>
      </c>
      <c r="K117" s="111"/>
      <c r="L117" s="111">
        <v>514</v>
      </c>
      <c r="M117" s="111"/>
      <c r="N117" s="111">
        <v>1030</v>
      </c>
      <c r="O117" s="111"/>
      <c r="P117" s="111">
        <f>N117+500</f>
        <v>1530</v>
      </c>
      <c r="Q117" s="111"/>
      <c r="R117" s="111">
        <f>P117+500</f>
        <v>2030</v>
      </c>
      <c r="S117" s="111"/>
      <c r="T117" s="111">
        <f>R117+500</f>
        <v>2530</v>
      </c>
      <c r="U117" s="111"/>
      <c r="V117" s="111">
        <f>T117+500</f>
        <v>3030</v>
      </c>
      <c r="W117" s="111"/>
    </row>
    <row r="118" spans="2:23" s="19" customFormat="1" ht="12.75">
      <c r="B118" s="29" t="s">
        <v>39</v>
      </c>
      <c r="D118" s="61"/>
      <c r="E118"/>
      <c r="F118" s="111">
        <v>426</v>
      </c>
      <c r="G118" s="111"/>
      <c r="H118" s="111">
        <v>426</v>
      </c>
      <c r="I118" s="111" t="s">
        <v>4</v>
      </c>
      <c r="J118" s="111">
        <v>426</v>
      </c>
      <c r="K118" s="111" t="s">
        <v>4</v>
      </c>
      <c r="L118" s="111">
        <v>426</v>
      </c>
      <c r="M118" s="111" t="s">
        <v>4</v>
      </c>
      <c r="N118" s="111">
        <v>426</v>
      </c>
      <c r="O118" s="111" t="s">
        <v>4</v>
      </c>
      <c r="P118" s="111">
        <v>426</v>
      </c>
      <c r="Q118" s="111" t="s">
        <v>4</v>
      </c>
      <c r="R118" s="111">
        <v>426</v>
      </c>
      <c r="S118" s="111" t="s">
        <v>4</v>
      </c>
      <c r="T118" s="111">
        <v>426</v>
      </c>
      <c r="U118" s="111" t="s">
        <v>4</v>
      </c>
      <c r="V118" s="111">
        <v>426</v>
      </c>
      <c r="W118" s="102" t="s">
        <v>4</v>
      </c>
    </row>
    <row r="119" spans="2:24" s="19" customFormat="1" ht="12.75">
      <c r="B119" s="27" t="s">
        <v>6</v>
      </c>
      <c r="D119" s="61"/>
      <c r="E119"/>
      <c r="F119" s="111">
        <v>567</v>
      </c>
      <c r="G119" s="111"/>
      <c r="H119" s="111">
        <v>458</v>
      </c>
      <c r="I119" s="111"/>
      <c r="J119" s="111">
        <v>-347</v>
      </c>
      <c r="K119" s="111"/>
      <c r="L119" s="111">
        <v>500</v>
      </c>
      <c r="M119" s="111"/>
      <c r="N119" s="111">
        <f>L119+100</f>
        <v>600</v>
      </c>
      <c r="O119" s="111"/>
      <c r="P119" s="111">
        <f>N119+100</f>
        <v>700</v>
      </c>
      <c r="Q119" s="111"/>
      <c r="R119" s="111">
        <f>P119+100</f>
        <v>800</v>
      </c>
      <c r="S119" s="111"/>
      <c r="T119" s="111">
        <f>R119+100</f>
        <v>900</v>
      </c>
      <c r="U119" s="111"/>
      <c r="V119" s="111">
        <f>T119+100</f>
        <v>1000</v>
      </c>
      <c r="W119" s="111"/>
      <c r="X119" s="24"/>
    </row>
    <row r="120" spans="2:23" s="19" customFormat="1" ht="12.75">
      <c r="B120" s="29" t="s">
        <v>42</v>
      </c>
      <c r="D120" s="61"/>
      <c r="E120"/>
      <c r="F120" s="112">
        <v>-40</v>
      </c>
      <c r="G120" s="111"/>
      <c r="H120" s="112">
        <v>-159</v>
      </c>
      <c r="I120" s="111"/>
      <c r="J120" s="112">
        <v>-117</v>
      </c>
      <c r="K120" s="111"/>
      <c r="L120" s="112">
        <v>800</v>
      </c>
      <c r="M120" s="111"/>
      <c r="N120" s="112">
        <v>800</v>
      </c>
      <c r="O120" s="111"/>
      <c r="P120" s="112">
        <v>800</v>
      </c>
      <c r="Q120" s="111"/>
      <c r="R120" s="112">
        <v>800</v>
      </c>
      <c r="S120" s="111"/>
      <c r="T120" s="112">
        <v>800</v>
      </c>
      <c r="U120" s="111"/>
      <c r="V120" s="112">
        <v>800</v>
      </c>
      <c r="W120" s="111"/>
    </row>
    <row r="121" spans="2:22" s="19" customFormat="1" ht="12.75">
      <c r="B121" s="28" t="s">
        <v>43</v>
      </c>
      <c r="D121" s="61"/>
      <c r="E121"/>
      <c r="F121" s="19">
        <f>F115-F117-F118-F119-F120</f>
        <v>-6920</v>
      </c>
      <c r="H121" s="19">
        <f>H115-H117-H118-H119-H120</f>
        <v>-8604</v>
      </c>
      <c r="J121" s="19">
        <f>J115-J117-J118-J119-J120</f>
        <v>-7352</v>
      </c>
      <c r="L121" s="19">
        <f>L115-L117-L118-L119-L120</f>
        <v>-10690</v>
      </c>
      <c r="N121" s="19">
        <f>N115-N117-N118-N119-N120</f>
        <v>-5058.8782125</v>
      </c>
      <c r="P121" s="19">
        <f>P115-P117-P118-P119-P120</f>
        <v>-3282.316676199999</v>
      </c>
      <c r="R121" s="19">
        <f>R115-R117-R118-R119-R120</f>
        <v>9775.219506708003</v>
      </c>
      <c r="T121" s="19">
        <f>T115-T117-T118-T119-T120</f>
        <v>41017.05768488931</v>
      </c>
      <c r="V121" s="19">
        <f>V115-V117-V118-V119-V120</f>
        <v>90077.59595362582</v>
      </c>
    </row>
    <row r="122" spans="2:24" s="19" customFormat="1" ht="12.75">
      <c r="B122" s="27" t="s">
        <v>7</v>
      </c>
      <c r="D122" s="61"/>
      <c r="E122"/>
      <c r="F122" s="19">
        <v>0</v>
      </c>
      <c r="G122" s="19" t="s">
        <v>4</v>
      </c>
      <c r="H122" s="19">
        <v>0</v>
      </c>
      <c r="J122" s="19">
        <v>0</v>
      </c>
      <c r="L122" s="19">
        <f>(L121)*L136</f>
        <v>0</v>
      </c>
      <c r="N122" s="19">
        <f>(N121)*N136</f>
        <v>0</v>
      </c>
      <c r="P122" s="19">
        <f>(P121)*P136</f>
        <v>0</v>
      </c>
      <c r="R122" s="19">
        <f>(R121)*R136</f>
        <v>1466.2829260062003</v>
      </c>
      <c r="T122" s="19">
        <f>(T121)*T136</f>
        <v>14355.970189711257</v>
      </c>
      <c r="V122" s="19">
        <f>(V121)*V136</f>
        <v>31527.158583769033</v>
      </c>
      <c r="X122" s="24"/>
    </row>
    <row r="123" spans="2:25" s="19" customFormat="1" ht="12.75">
      <c r="B123" s="28" t="s">
        <v>8</v>
      </c>
      <c r="D123" s="61"/>
      <c r="E123"/>
      <c r="F123" s="62">
        <f>F121-F122</f>
        <v>-6920</v>
      </c>
      <c r="H123" s="62">
        <f>H121-H122</f>
        <v>-8604</v>
      </c>
      <c r="J123" s="62">
        <f>J121-J122</f>
        <v>-7352</v>
      </c>
      <c r="L123" s="62">
        <f>L121-L122</f>
        <v>-10690</v>
      </c>
      <c r="N123" s="62">
        <f>N121-N122</f>
        <v>-5058.8782125</v>
      </c>
      <c r="P123" s="62">
        <f>P121-P122</f>
        <v>-3282.316676199999</v>
      </c>
      <c r="R123" s="62">
        <f>R121-R122</f>
        <v>8308.936580701802</v>
      </c>
      <c r="T123" s="62">
        <f>T121-T122</f>
        <v>26661.087495178053</v>
      </c>
      <c r="V123" s="62">
        <f>V121-V122</f>
        <v>58550.43736985678</v>
      </c>
      <c r="X123" s="65"/>
      <c r="Y123" s="23"/>
    </row>
    <row r="124" spans="2:24" s="2" customFormat="1" ht="8.25" customHeight="1">
      <c r="B124" s="3" t="s">
        <v>3</v>
      </c>
      <c r="D124" s="61"/>
      <c r="E124"/>
      <c r="F124" s="6" t="s">
        <v>4</v>
      </c>
      <c r="H124" s="6">
        <f>(H123-F123)/F123</f>
        <v>0.24335260115606935</v>
      </c>
      <c r="J124" s="6">
        <f>(J123-H123)/H123</f>
        <v>-0.14551371455137146</v>
      </c>
      <c r="L124" s="6">
        <f>(L123-J123)/J123</f>
        <v>0.4540261153427639</v>
      </c>
      <c r="N124" s="6">
        <f>(N123-L123)/L123</f>
        <v>-0.5267653683348924</v>
      </c>
      <c r="P124" s="6">
        <f>(P123-N123)/N123</f>
        <v>-0.35117697277437687</v>
      </c>
      <c r="R124" s="6">
        <f>(R123-P123)/P123</f>
        <v>-3.53142441768331</v>
      </c>
      <c r="T124" s="6">
        <f>(T123-R123)/R123</f>
        <v>2.2087243940579175</v>
      </c>
      <c r="V124" s="6">
        <f>(V123-T123)/T123</f>
        <v>1.1961008672450537</v>
      </c>
      <c r="X124" s="6"/>
    </row>
    <row r="125" spans="2:23" s="19" customFormat="1" ht="12.75">
      <c r="B125" s="29" t="s">
        <v>44</v>
      </c>
      <c r="D125" s="61"/>
      <c r="E125"/>
      <c r="F125" s="19">
        <v>0</v>
      </c>
      <c r="H125" s="19">
        <v>1695</v>
      </c>
      <c r="I125" s="19" t="s">
        <v>4</v>
      </c>
      <c r="J125" s="19">
        <v>3006</v>
      </c>
      <c r="K125" s="19" t="s">
        <v>4</v>
      </c>
      <c r="L125" s="19">
        <v>520</v>
      </c>
      <c r="M125" s="19" t="s">
        <v>4</v>
      </c>
      <c r="N125" s="19">
        <v>650</v>
      </c>
      <c r="O125" s="19" t="s">
        <v>4</v>
      </c>
      <c r="P125" s="19">
        <v>650</v>
      </c>
      <c r="Q125" s="19" t="s">
        <v>4</v>
      </c>
      <c r="R125" s="19">
        <v>650</v>
      </c>
      <c r="S125" s="19" t="s">
        <v>4</v>
      </c>
      <c r="T125" s="19">
        <v>650</v>
      </c>
      <c r="U125" s="19" t="s">
        <v>4</v>
      </c>
      <c r="V125" s="19">
        <v>650</v>
      </c>
      <c r="W125" s="19" t="s">
        <v>4</v>
      </c>
    </row>
    <row r="126" spans="2:22" s="38" customFormat="1" ht="12.75">
      <c r="B126" s="38" t="s">
        <v>9</v>
      </c>
      <c r="D126"/>
      <c r="E126"/>
      <c r="F126" s="38">
        <v>10162</v>
      </c>
      <c r="H126" s="38">
        <v>11740</v>
      </c>
      <c r="J126" s="38">
        <v>12884</v>
      </c>
      <c r="L126" s="38">
        <v>21000</v>
      </c>
      <c r="N126" s="38">
        <v>25000</v>
      </c>
      <c r="P126" s="38">
        <v>25000</v>
      </c>
      <c r="R126" s="38">
        <v>30000</v>
      </c>
      <c r="T126" s="38">
        <v>30000</v>
      </c>
      <c r="V126" s="38">
        <v>30000</v>
      </c>
    </row>
    <row r="127" spans="2:22" s="38" customFormat="1" ht="12.75">
      <c r="B127" s="69" t="s">
        <v>10</v>
      </c>
      <c r="D127"/>
      <c r="E127"/>
      <c r="F127" s="70">
        <f>(F123-F125)/F126</f>
        <v>-0.6809683133241488</v>
      </c>
      <c r="H127" s="70">
        <f>(H123-H125)/H126</f>
        <v>-0.8772572402044293</v>
      </c>
      <c r="J127" s="70">
        <f>(J123-J125)/J126</f>
        <v>-0.8039428748835765</v>
      </c>
      <c r="L127" s="70">
        <f>(L123-L125)/L126</f>
        <v>-0.5338095238095238</v>
      </c>
      <c r="N127" s="70">
        <f>(N123-N125)/N126</f>
        <v>-0.2283551285</v>
      </c>
      <c r="P127" s="70">
        <f>(P123-P125)/P126</f>
        <v>-0.15729266704799996</v>
      </c>
      <c r="R127" s="70">
        <f>(R123-R125)/R126</f>
        <v>0.2552978860233934</v>
      </c>
      <c r="T127" s="70">
        <f>(T123-T125)/T126</f>
        <v>0.8670362498392684</v>
      </c>
      <c r="V127" s="70">
        <f>(V123-V125)/V126</f>
        <v>1.9300145789952259</v>
      </c>
    </row>
    <row r="128" spans="2:24" s="39" customFormat="1" ht="8.25" customHeight="1">
      <c r="B128" s="81"/>
      <c r="C128" s="82"/>
      <c r="D128" s="83"/>
      <c r="E128" s="83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2:24" s="39" customFormat="1" ht="12.75">
      <c r="B129" s="39" t="s">
        <v>4</v>
      </c>
      <c r="C129" s="82"/>
      <c r="D129" s="98"/>
      <c r="E129" s="98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3:24" s="39" customFormat="1" ht="12.75">
      <c r="C130" s="82"/>
      <c r="D130" s="98"/>
      <c r="E130" s="98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3:24" s="39" customFormat="1" ht="12.75">
      <c r="C131" s="82"/>
      <c r="D131" s="98"/>
      <c r="E131" s="98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2:15" s="39" customFormat="1" ht="12.75">
      <c r="B132" s="74" t="s">
        <v>46</v>
      </c>
      <c r="C132" s="75"/>
      <c r="D132"/>
      <c r="E132"/>
      <c r="H132" s="20"/>
      <c r="I132" s="20"/>
      <c r="J132" s="20"/>
      <c r="K132" s="20"/>
      <c r="L132" s="20"/>
      <c r="M132" s="20"/>
      <c r="N132" s="20"/>
      <c r="O132" s="20"/>
    </row>
    <row r="133" spans="2:22" s="39" customFormat="1" ht="12.75">
      <c r="B133" s="39" t="s">
        <v>86</v>
      </c>
      <c r="D133"/>
      <c r="E133"/>
      <c r="F133" s="39">
        <f>F115/F109</f>
        <v>-4.024390243902439</v>
      </c>
      <c r="H133" s="39">
        <f>H115/H109</f>
        <v>-5.050101557210562</v>
      </c>
      <c r="J133" s="39">
        <f>J115/J109</f>
        <v>-4.27740763173834</v>
      </c>
      <c r="L133" s="39">
        <f>L115/L109</f>
        <v>-5.28125</v>
      </c>
      <c r="N133" s="39">
        <f>N115/N109</f>
        <v>-0.365797685638386</v>
      </c>
      <c r="P133" s="39">
        <f>P115/P109</f>
        <v>0.008834754913952556</v>
      </c>
      <c r="R133" s="39">
        <f>R115/R109</f>
        <v>0.2466791041468792</v>
      </c>
      <c r="T133" s="39">
        <f>T115/T109</f>
        <v>0.35578560494711786</v>
      </c>
      <c r="V133" s="39">
        <f>V115/V109</f>
        <v>0.3992482019411292</v>
      </c>
    </row>
    <row r="134" spans="2:22" s="39" customFormat="1" ht="12.75">
      <c r="B134" s="39" t="s">
        <v>11</v>
      </c>
      <c r="D134"/>
      <c r="E134"/>
      <c r="F134" s="39">
        <f>F121/F109</f>
        <v>-5.274390243902439</v>
      </c>
      <c r="H134" s="39">
        <f>H121/H109</f>
        <v>-5.8253215978334465</v>
      </c>
      <c r="J134" s="39">
        <f>J121/J109</f>
        <v>-4.4530587522713505</v>
      </c>
      <c r="L134" s="39">
        <f>L121/L109</f>
        <v>-6.68125</v>
      </c>
      <c r="N134" s="39">
        <f>N121/N109</f>
        <v>-0.8400491373323957</v>
      </c>
      <c r="P134" s="39">
        <f>P121/P109</f>
        <v>-0.1669617021931165</v>
      </c>
      <c r="R134" s="39">
        <f>R121/R109</f>
        <v>0.17434054817685107</v>
      </c>
      <c r="T134" s="39">
        <f>T121/T109</f>
        <v>0.31951613098146664</v>
      </c>
      <c r="V134" s="39">
        <f>V121/V109</f>
        <v>0.37723656450721404</v>
      </c>
    </row>
    <row r="135" spans="2:22" s="39" customFormat="1" ht="12.75">
      <c r="B135" s="39" t="s">
        <v>12</v>
      </c>
      <c r="F135" s="39">
        <f>F123/F107</f>
        <v>-5.278413424866514</v>
      </c>
      <c r="H135" s="39">
        <f>H123/H107</f>
        <v>-5.8931506849315065</v>
      </c>
      <c r="J135" s="39">
        <f>J123/J107</f>
        <v>-4.4530587522713505</v>
      </c>
      <c r="L135" s="39">
        <f>L123/L109</f>
        <v>-6.68125</v>
      </c>
      <c r="N135" s="39">
        <f>N123/N109</f>
        <v>-0.8400491373323957</v>
      </c>
      <c r="P135" s="39">
        <f>P123/P109</f>
        <v>-0.1669617021931165</v>
      </c>
      <c r="R135" s="39">
        <f>R123/R109</f>
        <v>0.1481894659503234</v>
      </c>
      <c r="T135" s="39">
        <f>T123/T109</f>
        <v>0.20768548513795332</v>
      </c>
      <c r="V135" s="39">
        <f>V123/V109</f>
        <v>0.24520376692968912</v>
      </c>
    </row>
    <row r="136" spans="2:22" s="39" customFormat="1" ht="12.75">
      <c r="B136" s="39" t="s">
        <v>13</v>
      </c>
      <c r="F136" s="39">
        <f>F122/F107</f>
        <v>0</v>
      </c>
      <c r="H136" s="39">
        <f>H122/H107</f>
        <v>0</v>
      </c>
      <c r="J136" s="39">
        <f>J122/J107</f>
        <v>0</v>
      </c>
      <c r="L136" s="39">
        <v>0</v>
      </c>
      <c r="M136" s="20"/>
      <c r="N136" s="20">
        <v>0</v>
      </c>
      <c r="O136" s="20"/>
      <c r="P136" s="39">
        <v>0</v>
      </c>
      <c r="R136" s="39">
        <v>0.15</v>
      </c>
      <c r="T136" s="39">
        <v>0.35</v>
      </c>
      <c r="V136" s="39">
        <v>0.35</v>
      </c>
    </row>
    <row r="137" spans="8:15" s="39" customFormat="1" ht="12.75">
      <c r="H137" s="20"/>
      <c r="I137" s="20"/>
      <c r="J137" s="20"/>
      <c r="K137" s="20"/>
      <c r="L137" s="20"/>
      <c r="M137" s="20"/>
      <c r="N137" s="20"/>
      <c r="O137" s="20"/>
    </row>
    <row r="138" spans="2:22" s="39" customFormat="1" ht="12.75">
      <c r="B138" s="76"/>
      <c r="C138" s="76"/>
      <c r="D138" s="78"/>
      <c r="E138" s="76"/>
      <c r="F138" s="78"/>
      <c r="G138" s="76"/>
      <c r="H138" s="78"/>
      <c r="I138" s="76"/>
      <c r="J138" s="78"/>
      <c r="K138" s="76"/>
      <c r="L138" s="77"/>
      <c r="M138" s="77"/>
      <c r="N138" s="77"/>
      <c r="O138" s="77"/>
      <c r="P138" s="79"/>
      <c r="Q138" s="76"/>
      <c r="R138" s="79"/>
      <c r="S138" s="76"/>
      <c r="T138" s="79"/>
      <c r="U138" s="76"/>
      <c r="V138" s="79"/>
    </row>
    <row r="139" spans="2:22" s="39" customFormat="1" ht="12.75">
      <c r="B139" s="76"/>
      <c r="C139" s="76"/>
      <c r="D139" s="78"/>
      <c r="E139" s="76"/>
      <c r="F139" s="78"/>
      <c r="G139" s="76"/>
      <c r="H139" s="78"/>
      <c r="I139" s="76"/>
      <c r="J139" s="78"/>
      <c r="K139" s="77"/>
      <c r="L139" s="77"/>
      <c r="M139" s="77"/>
      <c r="N139" s="77"/>
      <c r="O139" s="77"/>
      <c r="P139" s="79"/>
      <c r="Q139" s="76"/>
      <c r="R139" s="79"/>
      <c r="S139" s="76"/>
      <c r="T139" s="80"/>
      <c r="U139" s="76"/>
      <c r="V139" s="80"/>
    </row>
    <row r="140" spans="2:22" s="39" customFormat="1" ht="12.75">
      <c r="B140" s="76"/>
      <c r="C140" s="76"/>
      <c r="D140" s="76"/>
      <c r="E140" s="76"/>
      <c r="F140" s="76"/>
      <c r="G140" s="76"/>
      <c r="H140" s="77"/>
      <c r="I140" s="77"/>
      <c r="J140" s="77"/>
      <c r="K140" s="77"/>
      <c r="L140" s="77"/>
      <c r="M140" s="77"/>
      <c r="N140" s="77"/>
      <c r="O140" s="77"/>
      <c r="P140" s="78"/>
      <c r="Q140" s="76"/>
      <c r="R140" s="78"/>
      <c r="S140" s="76"/>
      <c r="T140" s="78"/>
      <c r="U140" s="76"/>
      <c r="V140" s="78"/>
    </row>
    <row r="141" spans="2:22" s="39" customFormat="1" ht="12.75">
      <c r="B141" s="76"/>
      <c r="C141" s="76"/>
      <c r="D141" s="76"/>
      <c r="E141" s="76"/>
      <c r="F141" s="76"/>
      <c r="G141" s="76"/>
      <c r="H141" s="77"/>
      <c r="I141" s="77"/>
      <c r="J141" s="77"/>
      <c r="K141" s="77"/>
      <c r="L141" s="77"/>
      <c r="M141" s="77"/>
      <c r="N141" s="77"/>
      <c r="O141" s="77"/>
      <c r="P141" s="79"/>
      <c r="Q141" s="76"/>
      <c r="R141" s="79"/>
      <c r="S141" s="76"/>
      <c r="T141" s="79"/>
      <c r="U141" s="76"/>
      <c r="V141" s="79"/>
    </row>
    <row r="142" spans="2:22" s="39" customFormat="1" ht="12.75">
      <c r="B142" s="76"/>
      <c r="C142" s="76"/>
      <c r="D142" s="76"/>
      <c r="E142" s="76"/>
      <c r="F142" s="76"/>
      <c r="G142" s="76"/>
      <c r="H142" s="77"/>
      <c r="I142" s="77"/>
      <c r="J142" s="77"/>
      <c r="K142" s="77"/>
      <c r="L142" s="77"/>
      <c r="M142" s="77"/>
      <c r="N142" s="77"/>
      <c r="O142" s="77"/>
      <c r="P142" s="79"/>
      <c r="Q142" s="76"/>
      <c r="R142" s="79"/>
      <c r="S142" s="76"/>
      <c r="T142" s="79"/>
      <c r="U142" s="76"/>
      <c r="V142" s="79"/>
    </row>
    <row r="143" spans="2:22" s="39" customFormat="1" ht="12.75">
      <c r="B143" s="76"/>
      <c r="C143" s="76"/>
      <c r="D143" s="76"/>
      <c r="E143" s="76"/>
      <c r="F143" s="76"/>
      <c r="G143" s="76"/>
      <c r="H143" s="77"/>
      <c r="I143" s="77"/>
      <c r="J143" s="77"/>
      <c r="K143" s="77"/>
      <c r="L143" s="77"/>
      <c r="M143" s="77"/>
      <c r="N143" s="77"/>
      <c r="O143" s="77"/>
      <c r="P143" s="76"/>
      <c r="Q143" s="76"/>
      <c r="R143" s="76"/>
      <c r="S143" s="76"/>
      <c r="T143" s="76"/>
      <c r="U143" s="76"/>
      <c r="V143" s="76"/>
    </row>
    <row r="144" spans="2:22" s="39" customFormat="1" ht="4.5" customHeight="1">
      <c r="B144" s="76"/>
      <c r="C144" s="76"/>
      <c r="D144" s="76"/>
      <c r="E144" s="76"/>
      <c r="F144" s="76"/>
      <c r="G144" s="76"/>
      <c r="H144" s="77"/>
      <c r="I144" s="77"/>
      <c r="J144" s="77"/>
      <c r="K144" s="77"/>
      <c r="L144" s="77"/>
      <c r="M144" s="77"/>
      <c r="N144" s="77"/>
      <c r="O144" s="77"/>
      <c r="P144" s="76"/>
      <c r="Q144" s="76"/>
      <c r="R144" s="76"/>
      <c r="S144" s="76"/>
      <c r="T144" s="76"/>
      <c r="U144" s="76"/>
      <c r="V144" s="76"/>
    </row>
    <row r="145" spans="2:22" s="39" customFormat="1" ht="12.75">
      <c r="B145" s="96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1:25" s="35" customFormat="1" ht="18.75">
      <c r="A146" s="30"/>
      <c r="B146" s="31" t="str">
        <f>B98</f>
        <v>ACTV, Inc.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1"/>
      <c r="V146" s="32"/>
      <c r="W146" s="31"/>
      <c r="X146" s="33"/>
      <c r="Y146" s="34" t="s">
        <v>73</v>
      </c>
    </row>
    <row r="147" s="17" customFormat="1" ht="12.75">
      <c r="B147" s="21" t="s">
        <v>30</v>
      </c>
    </row>
    <row r="148" s="17" customFormat="1" ht="12.75">
      <c r="B148" s="17" t="s">
        <v>45</v>
      </c>
    </row>
    <row r="149" s="17" customFormat="1" ht="12.75"/>
    <row r="150" s="17" customFormat="1" ht="12.75"/>
    <row r="151" s="17" customFormat="1" ht="12.75"/>
    <row r="152" spans="8:20" s="17" customFormat="1" ht="12.75">
      <c r="H152" s="42" t="s">
        <v>29</v>
      </c>
      <c r="I152" s="99"/>
      <c r="J152" s="42" t="s">
        <v>28</v>
      </c>
      <c r="K152" s="66"/>
      <c r="L152" s="71" t="s">
        <v>1</v>
      </c>
      <c r="M152" s="71"/>
      <c r="N152" s="71"/>
      <c r="O152" s="71"/>
      <c r="P152" s="71"/>
      <c r="Q152" s="71"/>
      <c r="R152" s="71"/>
      <c r="S152" s="71"/>
      <c r="T152" s="71"/>
    </row>
    <row r="153" spans="8:25" s="5" customFormat="1" ht="12.75">
      <c r="H153" s="42">
        <v>1997</v>
      </c>
      <c r="I153" s="43"/>
      <c r="J153" s="42">
        <v>1998</v>
      </c>
      <c r="K153" s="43" t="s">
        <v>4</v>
      </c>
      <c r="L153" s="22">
        <v>1999</v>
      </c>
      <c r="M153" s="14"/>
      <c r="N153" s="15">
        <v>2000</v>
      </c>
      <c r="O153" s="14"/>
      <c r="P153" s="15">
        <v>2001</v>
      </c>
      <c r="Q153" s="14"/>
      <c r="R153" s="15">
        <v>2002</v>
      </c>
      <c r="S153" s="14"/>
      <c r="T153" s="15">
        <v>2003</v>
      </c>
      <c r="U153" s="40"/>
      <c r="V153" s="40"/>
      <c r="W153" s="40"/>
      <c r="X153" s="40"/>
      <c r="Y153" s="40"/>
    </row>
    <row r="154" spans="2:22" s="5" customFormat="1" ht="12.75">
      <c r="B154" s="41"/>
      <c r="C154" s="64" t="s">
        <v>2</v>
      </c>
      <c r="H154" s="63">
        <f>J109</f>
        <v>1651</v>
      </c>
      <c r="I154" s="63"/>
      <c r="J154" s="63">
        <f>L109</f>
        <v>1600</v>
      </c>
      <c r="K154" s="63"/>
      <c r="L154" s="63">
        <f>N109</f>
        <v>6022.1217875</v>
      </c>
      <c r="M154" s="63"/>
      <c r="N154" s="63">
        <f>P109</f>
        <v>19659.099261000003</v>
      </c>
      <c r="O154" s="63"/>
      <c r="P154" s="63">
        <f>R109</f>
        <v>56069.68435588501</v>
      </c>
      <c r="Q154" s="63"/>
      <c r="R154" s="63">
        <f>T109</f>
        <v>128372.41599945539</v>
      </c>
      <c r="S154" s="63"/>
      <c r="T154" s="63">
        <f>V109</f>
        <v>238782.78096211224</v>
      </c>
      <c r="U154" s="63"/>
      <c r="V154" s="43"/>
    </row>
    <row r="155" spans="3:22" s="5" customFormat="1" ht="12.75">
      <c r="C155" s="64" t="s">
        <v>79</v>
      </c>
      <c r="H155" s="57">
        <f>J115</f>
        <v>-7062</v>
      </c>
      <c r="I155" s="58"/>
      <c r="J155" s="57">
        <f>L115</f>
        <v>-8450</v>
      </c>
      <c r="K155" s="58"/>
      <c r="L155" s="57">
        <f>N115</f>
        <v>-2202.8782125000002</v>
      </c>
      <c r="M155" s="58"/>
      <c r="N155" s="57">
        <f>P115</f>
        <v>173.68332380000084</v>
      </c>
      <c r="O155" s="58"/>
      <c r="P155" s="57">
        <f>R115</f>
        <v>13831.219506708003</v>
      </c>
      <c r="Q155" s="58"/>
      <c r="R155" s="57">
        <f>T115</f>
        <v>45673.05768488931</v>
      </c>
      <c r="S155" s="58"/>
      <c r="T155" s="57">
        <f>V115</f>
        <v>95333.59595362582</v>
      </c>
      <c r="U155" s="58"/>
      <c r="V155" s="43"/>
    </row>
    <row r="156" spans="3:22" s="5" customFormat="1" ht="12.75">
      <c r="C156" s="64" t="s">
        <v>14</v>
      </c>
      <c r="H156" s="73">
        <f>J123</f>
        <v>-7352</v>
      </c>
      <c r="I156" s="8"/>
      <c r="J156" s="73">
        <f>L123</f>
        <v>-10690</v>
      </c>
      <c r="K156" s="8"/>
      <c r="L156" s="73">
        <f>N123</f>
        <v>-5058.8782125</v>
      </c>
      <c r="M156" s="8"/>
      <c r="N156" s="73">
        <f>P123</f>
        <v>-3282.316676199999</v>
      </c>
      <c r="O156" s="8"/>
      <c r="P156" s="73">
        <f>R123</f>
        <v>8308.936580701802</v>
      </c>
      <c r="Q156" s="8"/>
      <c r="R156" s="73">
        <f>T123</f>
        <v>26661.087495178053</v>
      </c>
      <c r="S156" s="8"/>
      <c r="T156" s="73">
        <f>V123</f>
        <v>58550.43736985678</v>
      </c>
      <c r="U156" s="8"/>
      <c r="V156" s="43"/>
    </row>
    <row r="157" spans="3:20" s="8" customFormat="1" ht="12.75">
      <c r="C157" s="64" t="s">
        <v>15</v>
      </c>
      <c r="H157" s="72">
        <f>J127</f>
        <v>-0.8039428748835765</v>
      </c>
      <c r="J157" s="72">
        <f>L127</f>
        <v>-0.5338095238095238</v>
      </c>
      <c r="L157" s="72">
        <f>N127</f>
        <v>-0.2283551285</v>
      </c>
      <c r="N157" s="72">
        <f>P127</f>
        <v>-0.15729266704799996</v>
      </c>
      <c r="P157" s="72">
        <f>R127</f>
        <v>0.2552978860233934</v>
      </c>
      <c r="R157" s="72">
        <f>T127</f>
        <v>0.8670362498392684</v>
      </c>
      <c r="T157" s="72">
        <f>V127</f>
        <v>1.9300145789952259</v>
      </c>
    </row>
    <row r="158" spans="3:20" s="8" customFormat="1" ht="12.75">
      <c r="C158" s="64" t="s">
        <v>16</v>
      </c>
      <c r="H158" s="73">
        <f>J126</f>
        <v>12884</v>
      </c>
      <c r="J158" s="73">
        <f>L126</f>
        <v>21000</v>
      </c>
      <c r="L158" s="73">
        <f>N126</f>
        <v>25000</v>
      </c>
      <c r="N158" s="73">
        <f>P126</f>
        <v>25000</v>
      </c>
      <c r="P158" s="73">
        <f>R126</f>
        <v>30000</v>
      </c>
      <c r="R158" s="73">
        <f>T126</f>
        <v>30000</v>
      </c>
      <c r="T158" s="73">
        <f>V126</f>
        <v>30000</v>
      </c>
    </row>
    <row r="159" spans="3:20" s="8" customFormat="1" ht="10.5" customHeight="1">
      <c r="C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2:4" s="5" customFormat="1" ht="12.75">
      <c r="B160" s="55" t="s">
        <v>77</v>
      </c>
      <c r="C160" s="56"/>
      <c r="D160" s="37"/>
    </row>
    <row r="161" spans="2:16" s="5" customFormat="1" ht="12.75">
      <c r="B161" s="53" t="s">
        <v>78</v>
      </c>
      <c r="H161" s="45" t="s">
        <v>18</v>
      </c>
      <c r="I161" s="46"/>
      <c r="J161" s="46"/>
      <c r="K161" s="46"/>
      <c r="L161" s="46"/>
      <c r="M161" s="46"/>
      <c r="N161" s="46"/>
      <c r="O161" s="46"/>
      <c r="P161" s="46"/>
    </row>
    <row r="162" spans="6:17" s="5" customFormat="1" ht="12.75">
      <c r="F162" s="44"/>
      <c r="G162" s="47"/>
      <c r="H162" s="48">
        <v>0.28</v>
      </c>
      <c r="I162" s="49"/>
      <c r="J162" s="48">
        <f>H162+0.02</f>
        <v>0.30000000000000004</v>
      </c>
      <c r="K162" s="49"/>
      <c r="L162" s="48">
        <f>J162+0.02</f>
        <v>0.32000000000000006</v>
      </c>
      <c r="M162" s="49"/>
      <c r="N162" s="48">
        <f>L162+0.02</f>
        <v>0.3400000000000001</v>
      </c>
      <c r="O162" s="49"/>
      <c r="P162" s="48">
        <f>N162+0.02</f>
        <v>0.3600000000000001</v>
      </c>
      <c r="Q162" s="49"/>
    </row>
    <row r="163" spans="6:17" s="5" customFormat="1" ht="12.75">
      <c r="F163" s="50">
        <v>16</v>
      </c>
      <c r="G163" s="51"/>
      <c r="H163" s="151">
        <f>($L$155/(1+H$162))+($N$155/((1+H$162)^2))+($P$155/((1+H$162)^3))+($R$155/((1+H$162)^4))+($T$155/((1+H$162)^5))+(($T$156*F163)/((1+H$162)^5))</f>
        <v>322387.2370735066</v>
      </c>
      <c r="I163" s="161"/>
      <c r="J163" s="151">
        <f>($L$155/(1+J$162))+($N$155/((1+J$162)^2))+($P$155/((1+J$162)^3))+($R$155/((1+J$162)^4))+($T$155/((1+J$162)^5))+(($T$156*F163)/((1+J$162)^5))</f>
        <v>298680.6300220295</v>
      </c>
      <c r="K163" s="161"/>
      <c r="L163" s="151">
        <f>($L$155/(1+L$162))+($N$155/((1+L$162)^2))+($P$155/((1+L$162)^3))+($R$155/((1+L$162)^4))+($T$155/((1+L$162)^5))+(($T$156*F163)/((1+L$162)^5))</f>
        <v>277043.0627424981</v>
      </c>
      <c r="M163" s="161"/>
      <c r="N163" s="151">
        <f>($L$155/(1+N$162))+($N$155/((1+N$162)^2))+($P$155/((1+N$162)^3))+($R$155/((1+N$162)^4))+($T$155/((1+N$162)^5))+(($T$156*F163)/((1+N$162)^5))</f>
        <v>257266.26388810153</v>
      </c>
      <c r="O163" s="161"/>
      <c r="P163" s="151">
        <f>($L$155/(1+P$162))+($N$155/((1+P$162)^2))+($P$155/((1+P$162)^3))+($R$155/((1+P$162)^4))+($T$155/((1+P$162)^5))+(($T$156*F163)/((1+P$162)^5))</f>
        <v>239165.62506639655</v>
      </c>
      <c r="Q163" s="54"/>
    </row>
    <row r="164" spans="6:17" s="5" customFormat="1" ht="12.75">
      <c r="F164" s="50">
        <f>F163+2</f>
        <v>18</v>
      </c>
      <c r="G164" s="51"/>
      <c r="H164" s="151">
        <f>($L$155/(1+H$162))+($N$155/((1+H$162)^2))+($P$155/((1+H$162)^3))+($R$155/((1+H$162)^4))+($T$155/((1+H$162)^5))+(($T$156*F164)/((1+H$162)^5))</f>
        <v>356468.0771211049</v>
      </c>
      <c r="I164" s="161"/>
      <c r="J164" s="152">
        <f>($L$155/(1+J$162))+($N$155/((1+J$162)^2))+($P$155/((1+J$162)^3))+($R$155/((1+J$162)^4))+($T$155/((1+J$162)^5))+(($T$156*F164)/((1+J$162)^5))</f>
        <v>330219.30022042093</v>
      </c>
      <c r="K164" s="162"/>
      <c r="L164" s="153">
        <f>($L$155/(1+L$162))+($N$155/((1+L$162)^2))+($P$155/((1+L$162)^3))+($R$155/((1+L$162)^4))+($T$155/((1+L$162)^5))+(($T$156*F164)/((1+L$162)^5))</f>
        <v>306263.75384121825</v>
      </c>
      <c r="M164" s="162"/>
      <c r="N164" s="154">
        <f>($L$155/(1+N$162))+($N$155/((1+N$162)^2))+($P$155/((1+N$162)^3))+($R$155/((1+N$162)^4))+($T$155/((1+N$162)^5))+(($T$156*F164)/((1+N$162)^5))</f>
        <v>284370.4360617995</v>
      </c>
      <c r="O164" s="161"/>
      <c r="P164" s="151">
        <f>($L$155/(1+P$162))+($N$155/((1+P$162)^2))+($P$155/((1+P$162)^3))+($R$155/((1+P$162)^4))+($T$155/((1+P$162)^5))+(($T$156*F164)/((1+P$162)^5))</f>
        <v>264334.60400846635</v>
      </c>
      <c r="Q164" s="59"/>
    </row>
    <row r="165" spans="2:17" s="5" customFormat="1" ht="12.75">
      <c r="B165" s="64" t="s">
        <v>25</v>
      </c>
      <c r="D165" s="52"/>
      <c r="F165" s="50">
        <f>F164+2</f>
        <v>20</v>
      </c>
      <c r="G165" s="51"/>
      <c r="H165" s="151">
        <f>($L$155/(1+H$162))+($N$155/((1+H$162)^2))+($P$155/((1+H$162)^3))+($R$155/((1+H$162)^4))+($T$155/((1+H$162)^5))+(($T$156*F165)/((1+H$162)^5))</f>
        <v>390548.9171687033</v>
      </c>
      <c r="I165" s="161"/>
      <c r="J165" s="155">
        <f>($L$155/(1+J$162))+($N$155/((1+J$162)^2))+($P$155/((1+J$162)^3))+($R$155/((1+J$162)^4))+($T$155/((1+J$162)^5))+(($T$156*F165)/((1+J$162)^5))</f>
        <v>361757.97041881236</v>
      </c>
      <c r="K165" s="163"/>
      <c r="L165" s="156">
        <f>($L$155/(1+L$162))+($N$155/((1+L$162)^2))+($P$155/((1+L$162)^3))+($R$155/((1+L$162)^4))+($T$155/((1+L$162)^5))+(($T$156*F165)/((1+L$162)^5))</f>
        <v>335484.4449399384</v>
      </c>
      <c r="M165" s="163"/>
      <c r="N165" s="157">
        <f>($L$155/(1+N$162))+($N$155/((1+N$162)^2))+($P$155/((1+N$162)^3))+($R$155/((1+N$162)^4))+($T$155/((1+N$162)^5))+(($T$156*F165)/((1+N$162)^5))</f>
        <v>311474.6082354976</v>
      </c>
      <c r="O165" s="161"/>
      <c r="P165" s="151">
        <f>($L$155/(1+P$162))+($N$155/((1+P$162)^2))+($P$155/((1+P$162)^3))+($R$155/((1+P$162)^4))+($T$155/((1+P$162)^5))+(($T$156*F165)/((1+P$162)^5))</f>
        <v>289503.5829505362</v>
      </c>
      <c r="Q165" s="59"/>
    </row>
    <row r="166" spans="6:17" s="5" customFormat="1" ht="12.75">
      <c r="F166" s="50">
        <f>F165+2</f>
        <v>22</v>
      </c>
      <c r="G166" s="51"/>
      <c r="H166" s="151">
        <f>($L$155/(1+H$162))+($N$155/((1+H$162)^2))+($P$155/((1+H$162)^3))+($R$155/((1+H$162)^4))+($T$155/((1+H$162)^5))+(($T$156*F166)/((1+H$162)^5))</f>
        <v>424629.75721630163</v>
      </c>
      <c r="I166" s="161"/>
      <c r="J166" s="158">
        <f>($L$155/(1+J$162))+($N$155/((1+J$162)^2))+($P$155/((1+J$162)^3))+($R$155/((1+J$162)^4))+($T$155/((1+J$162)^5))+(($T$156*F166)/((1+J$162)^5))</f>
        <v>393296.64061720384</v>
      </c>
      <c r="K166" s="164"/>
      <c r="L166" s="159">
        <f>($L$155/(1+L$162))+($N$155/((1+L$162)^2))+($P$155/((1+L$162)^3))+($R$155/((1+L$162)^4))+($T$155/((1+L$162)^5))+(($T$156*F166)/((1+L$162)^5))</f>
        <v>364705.13603865856</v>
      </c>
      <c r="M166" s="164"/>
      <c r="N166" s="160">
        <f>($L$155/(1+N$162))+($N$155/((1+N$162)^2))+($P$155/((1+N$162)^3))+($R$155/((1+N$162)^4))+($T$155/((1+N$162)^5))+(($T$156*F166)/((1+N$162)^5))</f>
        <v>338578.7804091957</v>
      </c>
      <c r="O166" s="161"/>
      <c r="P166" s="151">
        <f>($L$155/(1+P$162))+($N$155/((1+P$162)^2))+($P$155/((1+P$162)^3))+($R$155/((1+P$162)^4))+($T$155/((1+P$162)^5))+(($T$156*F166)/((1+P$162)^5))</f>
        <v>314672.5618926061</v>
      </c>
      <c r="Q166" s="59"/>
    </row>
    <row r="167" spans="6:17" s="5" customFormat="1" ht="12.75">
      <c r="F167" s="50">
        <f>F166+2</f>
        <v>24</v>
      </c>
      <c r="G167" s="51"/>
      <c r="H167" s="151">
        <f>($L$155/(1+H$162))+($N$155/((1+H$162)^2))+($P$155/((1+H$162)^3))+($R$155/((1+H$162)^4))+($T$155/((1+H$162)^5))+(($T$156*F167)/((1+H$162)^5))</f>
        <v>458710.5972639</v>
      </c>
      <c r="I167" s="161"/>
      <c r="J167" s="151">
        <f>($L$155/(1+J$162))+($N$155/((1+J$162)^2))+($P$155/((1+J$162)^3))+($R$155/((1+J$162)^4))+($T$155/((1+J$162)^5))+(($T$156*F167)/((1+J$162)^5))</f>
        <v>424835.31081559527</v>
      </c>
      <c r="K167" s="161"/>
      <c r="L167" s="151">
        <f>($L$155/(1+L$162))+($N$155/((1+L$162)^2))+($P$155/((1+L$162)^3))+($R$155/((1+L$162)^4))+($T$155/((1+L$162)^5))+(($T$156*F167)/((1+L$162)^5))</f>
        <v>393925.8271373787</v>
      </c>
      <c r="M167" s="161"/>
      <c r="N167" s="151">
        <f>($L$155/(1+N$162))+($N$155/((1+N$162)^2))+($P$155/((1+N$162)^3))+($R$155/((1+N$162)^4))+($T$155/((1+N$162)^5))+(($T$156*F167)/((1+N$162)^5))</f>
        <v>365682.95258289366</v>
      </c>
      <c r="O167" s="161"/>
      <c r="P167" s="151">
        <f>($L$155/(1+P$162))+($N$155/((1+P$162)^2))+($P$155/((1+P$162)^3))+($R$155/((1+P$162)^4))+($T$155/((1+P$162)^5))+(($T$156*F167)/((1+P$162)^5))</f>
        <v>339841.5408346759</v>
      </c>
      <c r="Q167" s="54"/>
    </row>
    <row r="168" spans="8:14" s="5" customFormat="1" ht="12.75">
      <c r="H168" s="41" t="s">
        <v>19</v>
      </c>
      <c r="I168" s="41"/>
      <c r="J168" s="41"/>
      <c r="K168" s="41"/>
      <c r="L168" s="41"/>
      <c r="M168" s="41"/>
      <c r="N168" s="60">
        <f>+AVERAGE(J164:N166)</f>
        <v>336239.00786474947</v>
      </c>
    </row>
    <row r="169" spans="8:16" s="8" customFormat="1" ht="12.75">
      <c r="H169" s="41" t="s">
        <v>20</v>
      </c>
      <c r="I169" s="41"/>
      <c r="J169" s="41"/>
      <c r="K169" s="41"/>
      <c r="L169" s="41"/>
      <c r="M169" s="41"/>
      <c r="N169" s="113">
        <f>N168/J158</f>
        <v>16.01138132689283</v>
      </c>
      <c r="P169" s="8" t="s">
        <v>4</v>
      </c>
    </row>
    <row r="170" spans="3:16" s="8" customFormat="1" ht="6.75" customHeight="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4" s="5" customFormat="1" ht="12.75">
      <c r="B171" s="55" t="s">
        <v>17</v>
      </c>
      <c r="C171" s="56"/>
      <c r="D171" s="37"/>
    </row>
    <row r="172" spans="2:16" s="5" customFormat="1" ht="12.75">
      <c r="B172" s="53" t="s">
        <v>4</v>
      </c>
      <c r="H172" s="45" t="s">
        <v>18</v>
      </c>
      <c r="I172" s="46"/>
      <c r="J172" s="46"/>
      <c r="K172" s="46"/>
      <c r="L172" s="46"/>
      <c r="M172" s="46"/>
      <c r="N172" s="46"/>
      <c r="O172" s="46"/>
      <c r="P172" s="46"/>
    </row>
    <row r="173" spans="6:17" s="5" customFormat="1" ht="12.75">
      <c r="F173" s="44"/>
      <c r="G173" s="47"/>
      <c r="H173" s="48">
        <v>0.28</v>
      </c>
      <c r="I173" s="49"/>
      <c r="J173" s="48">
        <f>H173+0.02</f>
        <v>0.30000000000000004</v>
      </c>
      <c r="K173" s="49"/>
      <c r="L173" s="48">
        <f>J173+0.02</f>
        <v>0.32000000000000006</v>
      </c>
      <c r="M173" s="49"/>
      <c r="N173" s="48">
        <f>L173+0.02</f>
        <v>0.3400000000000001</v>
      </c>
      <c r="O173" s="49"/>
      <c r="P173" s="48">
        <f>N173+0.02</f>
        <v>0.3600000000000001</v>
      </c>
      <c r="Q173" s="49"/>
    </row>
    <row r="174" spans="6:17" s="5" customFormat="1" ht="12.75">
      <c r="F174" s="50">
        <v>16</v>
      </c>
      <c r="G174" s="51"/>
      <c r="H174" s="25">
        <f>($F174*$T$156)/((1+H$173)^5)</f>
        <v>272646.7203807867</v>
      </c>
      <c r="I174" s="54"/>
      <c r="J174" s="25">
        <f>($F174*$T$156)/((1+J$173)^5)</f>
        <v>252309.3615871315</v>
      </c>
      <c r="K174" s="54"/>
      <c r="L174" s="25">
        <f>($F174*$T$156)/((1+L$173)^5)</f>
        <v>233765.5287897612</v>
      </c>
      <c r="M174" s="54"/>
      <c r="N174" s="25">
        <f>($F174*$T$156)/((1+N$173)^5)</f>
        <v>216833.3773895842</v>
      </c>
      <c r="O174" s="54"/>
      <c r="P174" s="25">
        <f>($F174*$T$156)/((1+P$173)^5)</f>
        <v>201351.83153655875</v>
      </c>
      <c r="Q174" s="54"/>
    </row>
    <row r="175" spans="6:17" s="5" customFormat="1" ht="12.75">
      <c r="F175" s="50">
        <f>F174+2.5</f>
        <v>18.5</v>
      </c>
      <c r="G175" s="51"/>
      <c r="H175" s="25">
        <f>($F175*$T$156)/((1+H$173)^5)</f>
        <v>315247.7704402846</v>
      </c>
      <c r="I175" s="54"/>
      <c r="J175" s="84">
        <f>($F175*$T$156)/((1+J$173)^5)</f>
        <v>291732.69933512085</v>
      </c>
      <c r="K175" s="85"/>
      <c r="L175" s="86">
        <f>($F175*$T$156)/((1+L$173)^5)</f>
        <v>270291.3926631614</v>
      </c>
      <c r="M175" s="85"/>
      <c r="N175" s="87">
        <f>($F175*$T$156)/((1+N$173)^5)</f>
        <v>250713.59260670675</v>
      </c>
      <c r="O175" s="54"/>
      <c r="P175" s="25">
        <f>($F175*$T$156)/((1+P$173)^5)</f>
        <v>232813.05521414604</v>
      </c>
      <c r="Q175" s="59"/>
    </row>
    <row r="176" spans="2:17" s="5" customFormat="1" ht="12.75">
      <c r="B176" s="64" t="s">
        <v>25</v>
      </c>
      <c r="D176" s="52"/>
      <c r="F176" s="50">
        <f>F175+2.5</f>
        <v>21</v>
      </c>
      <c r="G176" s="51"/>
      <c r="H176" s="25">
        <f>($F176*$T$156)/((1+H$173)^5)</f>
        <v>357848.82049978257</v>
      </c>
      <c r="I176" s="54"/>
      <c r="J176" s="88">
        <f>($F176*$T$156)/((1+J$173)^5)</f>
        <v>331156.03708311013</v>
      </c>
      <c r="K176" s="59"/>
      <c r="L176" s="36">
        <f>($F176*$T$156)/((1+L$173)^5)</f>
        <v>306817.2565365616</v>
      </c>
      <c r="M176" s="59"/>
      <c r="N176" s="89">
        <f>($F176*$T$156)/((1+N$173)^5)</f>
        <v>284593.8078238293</v>
      </c>
      <c r="O176" s="54"/>
      <c r="P176" s="25">
        <f>($F176*$T$156)/((1+P$173)^5)</f>
        <v>264274.2788917334</v>
      </c>
      <c r="Q176" s="59"/>
    </row>
    <row r="177" spans="6:17" s="5" customFormat="1" ht="12.75">
      <c r="F177" s="50">
        <f>F176+2.5</f>
        <v>23.5</v>
      </c>
      <c r="G177" s="51"/>
      <c r="H177" s="25">
        <f>($F177*$T$156)/((1+H$173)^5)</f>
        <v>400449.87055928045</v>
      </c>
      <c r="I177" s="54"/>
      <c r="J177" s="90">
        <f>($F177*$T$156)/((1+J$173)^5)</f>
        <v>370579.3748310994</v>
      </c>
      <c r="K177" s="91"/>
      <c r="L177" s="92">
        <f>($F177*$T$156)/((1+L$173)^5)</f>
        <v>343343.12040996173</v>
      </c>
      <c r="M177" s="91"/>
      <c r="N177" s="93">
        <f>($F177*$T$156)/((1+N$173)^5)</f>
        <v>318474.0230409518</v>
      </c>
      <c r="O177" s="54"/>
      <c r="P177" s="25">
        <f>($F177*$T$156)/((1+P$173)^5)</f>
        <v>295735.5025693206</v>
      </c>
      <c r="Q177" s="59"/>
    </row>
    <row r="178" spans="6:17" s="5" customFormat="1" ht="12.75">
      <c r="F178" s="50">
        <f>F177+2.5</f>
        <v>26</v>
      </c>
      <c r="G178" s="51"/>
      <c r="H178" s="25">
        <f>($F178*$T$156)/((1+H$173)^5)</f>
        <v>443050.9206187784</v>
      </c>
      <c r="I178" s="54"/>
      <c r="J178" s="25">
        <f>($F178*$T$156)/((1+J$173)^5)</f>
        <v>410002.7125790887</v>
      </c>
      <c r="K178" s="54"/>
      <c r="L178" s="25">
        <f>($F178*$T$156)/((1+L$173)^5)</f>
        <v>379868.98428336193</v>
      </c>
      <c r="M178" s="54"/>
      <c r="N178" s="25">
        <f>($F178*$T$156)/((1+N$173)^5)</f>
        <v>352354.2382580743</v>
      </c>
      <c r="O178" s="54"/>
      <c r="P178" s="25">
        <f>($F178*$T$156)/((1+P$173)^5)</f>
        <v>327196.72624690796</v>
      </c>
      <c r="Q178" s="54"/>
    </row>
    <row r="179" spans="8:14" s="5" customFormat="1" ht="12.75">
      <c r="H179" s="41" t="s">
        <v>19</v>
      </c>
      <c r="I179" s="41"/>
      <c r="J179" s="41"/>
      <c r="K179" s="41"/>
      <c r="L179" s="41"/>
      <c r="M179" s="41"/>
      <c r="N179" s="60">
        <f>+AVERAGE(J175:N177)</f>
        <v>307522.3671478337</v>
      </c>
    </row>
    <row r="180" spans="8:14" s="8" customFormat="1" ht="12.75">
      <c r="H180" s="41" t="s">
        <v>20</v>
      </c>
      <c r="I180" s="41"/>
      <c r="J180" s="41"/>
      <c r="K180" s="41"/>
      <c r="L180" s="41"/>
      <c r="M180" s="41"/>
      <c r="N180" s="113">
        <f>N179/J158</f>
        <v>14.643922245134938</v>
      </c>
    </row>
    <row r="181" spans="4:14" s="8" customFormat="1" ht="6" customHeight="1">
      <c r="D181" s="67"/>
      <c r="H181" s="10"/>
      <c r="I181" s="9"/>
      <c r="J181" s="9"/>
      <c r="K181" s="9"/>
      <c r="L181" s="9"/>
      <c r="M181" s="9"/>
      <c r="N181" s="11"/>
    </row>
    <row r="182" spans="2:4" s="5" customFormat="1" ht="12.75">
      <c r="B182" s="55" t="s">
        <v>21</v>
      </c>
      <c r="C182" s="56"/>
      <c r="D182" s="37"/>
    </row>
    <row r="183" spans="2:16" s="5" customFormat="1" ht="12.75">
      <c r="B183" s="53" t="s">
        <v>4</v>
      </c>
      <c r="H183" s="45" t="s">
        <v>18</v>
      </c>
      <c r="I183" s="46"/>
      <c r="J183" s="46"/>
      <c r="K183" s="46"/>
      <c r="L183" s="46"/>
      <c r="M183" s="46"/>
      <c r="N183" s="46"/>
      <c r="O183" s="46"/>
      <c r="P183" s="46"/>
    </row>
    <row r="184" spans="6:17" s="5" customFormat="1" ht="12.75">
      <c r="F184" s="44"/>
      <c r="G184" s="47"/>
      <c r="H184" s="48">
        <v>0.28</v>
      </c>
      <c r="I184" s="49"/>
      <c r="J184" s="48">
        <f>H184+0.02</f>
        <v>0.30000000000000004</v>
      </c>
      <c r="K184" s="49"/>
      <c r="L184" s="48">
        <f>J184+0.02</f>
        <v>0.32000000000000006</v>
      </c>
      <c r="M184" s="49"/>
      <c r="N184" s="48">
        <f>L184+0.02</f>
        <v>0.3400000000000001</v>
      </c>
      <c r="O184" s="49"/>
      <c r="P184" s="48">
        <f>N184+0.02</f>
        <v>0.3600000000000001</v>
      </c>
      <c r="Q184" s="49"/>
    </row>
    <row r="185" spans="6:17" s="5" customFormat="1" ht="12.75">
      <c r="F185" s="50">
        <v>8</v>
      </c>
      <c r="G185" s="51"/>
      <c r="H185" s="25">
        <f>($F185*$T$155)/((1+H$184)^5)</f>
        <v>221965.8250772064</v>
      </c>
      <c r="I185" s="54"/>
      <c r="J185" s="25">
        <f>($F185*$T$155)/((1+J$184)^5)</f>
        <v>205408.87321576392</v>
      </c>
      <c r="K185" s="54"/>
      <c r="L185" s="25">
        <f>($F185*$T$155)/((1+L$184)^5)</f>
        <v>190312.0580359833</v>
      </c>
      <c r="M185" s="54"/>
      <c r="N185" s="25">
        <f>($F185*$T$155)/((1+N$184)^5)</f>
        <v>176527.33709518702</v>
      </c>
      <c r="O185" s="54"/>
      <c r="P185" s="25">
        <f>($F185*$T$155)/((1+P$184)^5)</f>
        <v>163923.57610390108</v>
      </c>
      <c r="Q185" s="54"/>
    </row>
    <row r="186" spans="6:17" s="5" customFormat="1" ht="12.75">
      <c r="F186" s="50">
        <f>F185+2</f>
        <v>10</v>
      </c>
      <c r="G186" s="51"/>
      <c r="H186" s="25">
        <f>($F186*$T$155)/((1+H$184)^5)</f>
        <v>277457.28134650795</v>
      </c>
      <c r="I186" s="54"/>
      <c r="J186" s="84">
        <f>($F186*$T$155)/((1+J$184)^5)</f>
        <v>256761.0915197049</v>
      </c>
      <c r="K186" s="85"/>
      <c r="L186" s="86">
        <f>($F186*$T$155)/((1+L$184)^5)</f>
        <v>237890.07254497914</v>
      </c>
      <c r="M186" s="85"/>
      <c r="N186" s="87">
        <f>($F186*$T$155)/((1+N$184)^5)</f>
        <v>220659.17136898375</v>
      </c>
      <c r="O186" s="54"/>
      <c r="P186" s="25">
        <f>($F186*$T$155)/((1+P$184)^5)</f>
        <v>204904.47012987634</v>
      </c>
      <c r="Q186" s="59"/>
    </row>
    <row r="187" spans="2:17" s="5" customFormat="1" ht="12.75">
      <c r="B187" s="64" t="s">
        <v>26</v>
      </c>
      <c r="D187" s="52"/>
      <c r="F187" s="50">
        <f>F186+2</f>
        <v>12</v>
      </c>
      <c r="G187" s="51"/>
      <c r="H187" s="25">
        <f>($F187*$T$155)/((1+H$184)^5)</f>
        <v>332948.7376158096</v>
      </c>
      <c r="I187" s="54"/>
      <c r="J187" s="88">
        <f>($F187*$T$155)/((1+J$184)^5)</f>
        <v>308113.3098236459</v>
      </c>
      <c r="K187" s="59"/>
      <c r="L187" s="36">
        <f>($F187*$T$155)/((1+L$184)^5)</f>
        <v>285468.087053975</v>
      </c>
      <c r="M187" s="59"/>
      <c r="N187" s="89">
        <f>($F187*$T$155)/((1+N$184)^5)</f>
        <v>264791.0056427805</v>
      </c>
      <c r="O187" s="54"/>
      <c r="P187" s="25">
        <f>($F187*$T$155)/((1+P$184)^5)</f>
        <v>245885.36415585162</v>
      </c>
      <c r="Q187" s="59"/>
    </row>
    <row r="188" spans="3:17" s="5" customFormat="1" ht="12.75">
      <c r="C188" s="64" t="s">
        <v>4</v>
      </c>
      <c r="F188" s="50">
        <f>F187+2</f>
        <v>14</v>
      </c>
      <c r="G188" s="51"/>
      <c r="H188" s="25">
        <f>($F188*$T$155)/((1+H$184)^5)</f>
        <v>388440.19388511113</v>
      </c>
      <c r="I188" s="54"/>
      <c r="J188" s="90">
        <f>($F188*$T$155)/((1+J$184)^5)</f>
        <v>359465.5281275868</v>
      </c>
      <c r="K188" s="91"/>
      <c r="L188" s="92">
        <f>($F188*$T$155)/((1+L$184)^5)</f>
        <v>333046.1015629708</v>
      </c>
      <c r="M188" s="91"/>
      <c r="N188" s="93">
        <f>($F188*$T$155)/((1+N$184)^5)</f>
        <v>308922.8399165773</v>
      </c>
      <c r="O188" s="54"/>
      <c r="P188" s="25">
        <f>($F188*$T$155)/((1+P$184)^5)</f>
        <v>286866.25818182685</v>
      </c>
      <c r="Q188" s="59"/>
    </row>
    <row r="189" spans="6:17" s="5" customFormat="1" ht="12.75">
      <c r="F189" s="50">
        <f>F188+2</f>
        <v>16</v>
      </c>
      <c r="G189" s="51"/>
      <c r="H189" s="25">
        <f>($F189*$T$155)/((1+H$184)^5)</f>
        <v>443931.6501544128</v>
      </c>
      <c r="I189" s="54"/>
      <c r="J189" s="25">
        <f>($F189*$T$155)/((1+J$184)^5)</f>
        <v>410817.74643152783</v>
      </c>
      <c r="K189" s="54"/>
      <c r="L189" s="25">
        <f>($F189*$T$155)/((1+L$184)^5)</f>
        <v>380624.1160719666</v>
      </c>
      <c r="M189" s="54"/>
      <c r="N189" s="25">
        <f>($F189*$T$155)/((1+N$184)^5)</f>
        <v>353054.67419037403</v>
      </c>
      <c r="O189" s="54"/>
      <c r="P189" s="25">
        <f>($F189*$T$155)/((1+P$184)^5)</f>
        <v>327847.15220780217</v>
      </c>
      <c r="Q189" s="54"/>
    </row>
    <row r="190" spans="8:14" s="5" customFormat="1" ht="12.75">
      <c r="H190" s="41" t="s">
        <v>19</v>
      </c>
      <c r="I190" s="41"/>
      <c r="J190" s="41"/>
      <c r="K190" s="41"/>
      <c r="L190" s="41"/>
      <c r="M190" s="41"/>
      <c r="N190" s="60">
        <f>+AVERAGE(J186:N188)</f>
        <v>286124.1341734671</v>
      </c>
    </row>
    <row r="191" spans="8:14" s="8" customFormat="1" ht="12.75">
      <c r="H191" s="41" t="s">
        <v>20</v>
      </c>
      <c r="I191" s="41"/>
      <c r="J191" s="41"/>
      <c r="K191" s="41"/>
      <c r="L191" s="41"/>
      <c r="M191" s="41"/>
      <c r="N191" s="113">
        <f>N190/J158</f>
        <v>13.624958770165101</v>
      </c>
    </row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</sheetData>
  <mergeCells count="11">
    <mergeCell ref="B64:F64"/>
    <mergeCell ref="B84:F84"/>
    <mergeCell ref="N112:V112"/>
    <mergeCell ref="F6:J6"/>
    <mergeCell ref="F103:J103"/>
    <mergeCell ref="N6:V6"/>
    <mergeCell ref="N103:V103"/>
    <mergeCell ref="B10:F10"/>
    <mergeCell ref="B35:F35"/>
    <mergeCell ref="F60:J60"/>
    <mergeCell ref="N60:V60"/>
  </mergeCells>
  <printOptions horizontalCentered="1"/>
  <pageMargins left="0.4" right="0.4" top="0.5" bottom="0.5" header="0.5" footer="0.5"/>
  <pageSetup horizontalDpi="600" verticalDpi="600" orientation="landscape" scale="85" r:id="rId1"/>
  <headerFooter alignWithMargins="0">
    <oddFooter>&amp;L&amp;"Times New Roman,Regular"&amp;9c:\&amp;F &amp;D &amp;T&amp;R&amp;"Times New Roman,Bold"Copyright 1998  All Rights Reserved</oddFooter>
  </headerFooter>
  <rowBreaks count="3" manualBreakCount="3">
    <brk id="53" max="255" man="1"/>
    <brk id="97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Jeffrey B. Davis</cp:lastModifiedBy>
  <cp:lastPrinted>1998-12-12T19:13:13Z</cp:lastPrinted>
  <dcterms:created xsi:type="dcterms:W3CDTF">1998-09-10T14:08:39Z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